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ЭУ\Приказы\Коммуналка на 2022-2023  год\"/>
    </mc:Choice>
  </mc:AlternateContent>
  <bookViews>
    <workbookView xWindow="0" yWindow="0" windowWidth="28800" windowHeight="11835"/>
  </bookViews>
  <sheets>
    <sheet name="01122022 правки" sheetId="9" r:id="rId1"/>
    <sheet name="Лист1" sheetId="1" r:id="rId2"/>
    <sheet name="01092022_2" sheetId="7" r:id="rId3"/>
    <sheet name="01092022_2_1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9" l="1"/>
  <c r="I34" i="9"/>
  <c r="I35" i="9"/>
  <c r="I37" i="9"/>
  <c r="I38" i="9"/>
  <c r="I40" i="9"/>
  <c r="I41" i="9"/>
  <c r="I31" i="9"/>
  <c r="T30" i="7"/>
  <c r="T32" i="7"/>
  <c r="T33" i="7"/>
  <c r="T35" i="7"/>
  <c r="T36" i="7"/>
  <c r="T38" i="7"/>
  <c r="T39" i="7"/>
  <c r="T29" i="7"/>
  <c r="T13" i="7"/>
  <c r="T15" i="7"/>
  <c r="T16" i="7"/>
  <c r="T18" i="7"/>
  <c r="T19" i="7"/>
  <c r="T21" i="7"/>
  <c r="T22" i="7"/>
  <c r="T12" i="7"/>
  <c r="I15" i="9"/>
  <c r="I17" i="9"/>
  <c r="I18" i="9"/>
  <c r="I20" i="9"/>
  <c r="I21" i="9"/>
  <c r="I23" i="9"/>
  <c r="I24" i="9"/>
  <c r="I14" i="9"/>
  <c r="E41" i="9" l="1"/>
  <c r="D41" i="9"/>
  <c r="C41" i="9"/>
  <c r="E38" i="9"/>
  <c r="D38" i="9"/>
  <c r="C38" i="9"/>
  <c r="F35" i="9"/>
  <c r="E35" i="9"/>
  <c r="D35" i="9"/>
  <c r="F24" i="9"/>
  <c r="E24" i="9"/>
  <c r="D24" i="9"/>
  <c r="C24" i="9"/>
  <c r="F21" i="9"/>
  <c r="E21" i="9"/>
  <c r="D21" i="9"/>
  <c r="F18" i="9"/>
  <c r="E18" i="9"/>
  <c r="D18" i="9"/>
  <c r="C18" i="9"/>
  <c r="F15" i="9"/>
  <c r="E15" i="9"/>
  <c r="D15" i="9"/>
  <c r="C15" i="9"/>
  <c r="W39" i="7" l="1"/>
  <c r="W38" i="7"/>
  <c r="W36" i="7"/>
  <c r="W35" i="7"/>
  <c r="W33" i="7"/>
  <c r="W32" i="7"/>
  <c r="W30" i="7"/>
  <c r="W29" i="7"/>
  <c r="W22" i="7"/>
  <c r="W21" i="7"/>
  <c r="W19" i="7"/>
  <c r="W18" i="7"/>
  <c r="W16" i="7"/>
  <c r="W15" i="7"/>
  <c r="W13" i="7"/>
  <c r="W12" i="7"/>
  <c r="H25" i="8"/>
  <c r="I25" i="8"/>
  <c r="J25" i="8"/>
  <c r="K25" i="8"/>
  <c r="L25" i="8"/>
  <c r="G25" i="8"/>
  <c r="H22" i="8"/>
  <c r="I22" i="8"/>
  <c r="J22" i="8"/>
  <c r="K22" i="8"/>
  <c r="L22" i="8"/>
  <c r="G22" i="8"/>
  <c r="H19" i="8"/>
  <c r="I19" i="8"/>
  <c r="J19" i="8"/>
  <c r="K19" i="8"/>
  <c r="L19" i="8"/>
  <c r="G19" i="8"/>
  <c r="H16" i="8"/>
  <c r="I16" i="8"/>
  <c r="J16" i="8"/>
  <c r="K16" i="8"/>
  <c r="L16" i="8"/>
  <c r="G16" i="8"/>
  <c r="K43" i="8"/>
  <c r="I43" i="8"/>
  <c r="G43" i="8"/>
  <c r="K40" i="8"/>
  <c r="I40" i="8"/>
  <c r="G40" i="8"/>
  <c r="L37" i="8"/>
  <c r="K37" i="8"/>
  <c r="I37" i="8"/>
  <c r="Q43" i="8" l="1"/>
  <c r="Q42" i="8"/>
  <c r="O42" i="8"/>
  <c r="S41" i="8"/>
  <c r="F41" i="8"/>
  <c r="E41" i="8"/>
  <c r="O40" i="8"/>
  <c r="Q40" i="8" s="1"/>
  <c r="Q39" i="8"/>
  <c r="R38" i="8" s="1"/>
  <c r="S38" i="8"/>
  <c r="F38" i="8"/>
  <c r="E38" i="8"/>
  <c r="Q37" i="8"/>
  <c r="Q36" i="8"/>
  <c r="S35" i="8"/>
  <c r="J35" i="8"/>
  <c r="H35" i="8"/>
  <c r="F35" i="8"/>
  <c r="P35" i="8" s="1"/>
  <c r="I34" i="8"/>
  <c r="Q34" i="8" s="1"/>
  <c r="I33" i="8"/>
  <c r="Q33" i="8" s="1"/>
  <c r="S32" i="8"/>
  <c r="J32" i="8"/>
  <c r="H32" i="8"/>
  <c r="F32" i="8"/>
  <c r="P32" i="8" s="1"/>
  <c r="Q25" i="8"/>
  <c r="R23" i="8" s="1"/>
  <c r="Q24" i="8"/>
  <c r="S23" i="8"/>
  <c r="F23" i="8"/>
  <c r="E23" i="8"/>
  <c r="Q22" i="8"/>
  <c r="Q21" i="8"/>
  <c r="S20" i="8"/>
  <c r="F20" i="8"/>
  <c r="E20" i="8"/>
  <c r="Q19" i="8"/>
  <c r="Q18" i="8"/>
  <c r="R17" i="8" s="1"/>
  <c r="S17" i="8"/>
  <c r="F17" i="8"/>
  <c r="E17" i="8"/>
  <c r="Q16" i="8"/>
  <c r="Q15" i="8"/>
  <c r="R14" i="8" s="1"/>
  <c r="S14" i="8"/>
  <c r="F14" i="8"/>
  <c r="P14" i="8" s="1"/>
  <c r="E14" i="8"/>
  <c r="U37" i="7"/>
  <c r="V37" i="7"/>
  <c r="I37" i="7"/>
  <c r="H37" i="7"/>
  <c r="V34" i="7"/>
  <c r="U34" i="7"/>
  <c r="I34" i="7"/>
  <c r="H34" i="7"/>
  <c r="V31" i="7"/>
  <c r="U31" i="7"/>
  <c r="I31" i="7"/>
  <c r="U28" i="7"/>
  <c r="V28" i="7"/>
  <c r="M28" i="7"/>
  <c r="K28" i="7"/>
  <c r="I28" i="7"/>
  <c r="V20" i="7"/>
  <c r="U20" i="7"/>
  <c r="I20" i="7"/>
  <c r="H20" i="7"/>
  <c r="V17" i="7"/>
  <c r="U17" i="7"/>
  <c r="I17" i="7"/>
  <c r="H17" i="7"/>
  <c r="V14" i="7"/>
  <c r="U14" i="7"/>
  <c r="I14" i="7"/>
  <c r="H14" i="7"/>
  <c r="V11" i="7"/>
  <c r="U11" i="7"/>
  <c r="I11" i="7"/>
  <c r="S11" i="7" s="1"/>
  <c r="H11" i="7"/>
  <c r="S28" i="7" l="1"/>
  <c r="R20" i="8"/>
  <c r="R32" i="8"/>
  <c r="R41" i="8"/>
  <c r="R35" i="8"/>
  <c r="Q38" i="1" l="1"/>
  <c r="Q34" i="1"/>
  <c r="Q32" i="1"/>
  <c r="Q31" i="1"/>
  <c r="Q25" i="1"/>
  <c r="Q24" i="1"/>
  <c r="Q22" i="1"/>
  <c r="Q21" i="1"/>
  <c r="Q19" i="1"/>
  <c r="Q16" i="1"/>
  <c r="O37" i="1"/>
  <c r="Q37" i="1" s="1"/>
  <c r="O35" i="1"/>
  <c r="Q35" i="1" s="1"/>
  <c r="S36" i="1" l="1"/>
  <c r="S33" i="1"/>
  <c r="S30" i="1"/>
  <c r="S23" i="1"/>
  <c r="S20" i="1"/>
  <c r="S17" i="1"/>
  <c r="S14" i="1"/>
  <c r="R36" i="1" l="1"/>
  <c r="R30" i="1"/>
  <c r="G18" i="1"/>
  <c r="Q18" i="1" s="1"/>
  <c r="R17" i="1" s="1"/>
  <c r="I15" i="1"/>
  <c r="G15" i="1"/>
  <c r="Q15" i="1" s="1"/>
  <c r="R14" i="1" l="1"/>
  <c r="R33" i="1"/>
  <c r="R23" i="1"/>
  <c r="R20" i="1"/>
  <c r="J30" i="1"/>
  <c r="H30" i="1"/>
  <c r="F36" i="1"/>
  <c r="F33" i="1"/>
  <c r="F30" i="1"/>
  <c r="F23" i="1"/>
  <c r="F20" i="1"/>
  <c r="F17" i="1"/>
  <c r="F14" i="1"/>
  <c r="P14" i="1" s="1"/>
  <c r="E36" i="1" l="1"/>
  <c r="E33" i="1"/>
  <c r="E23" i="1"/>
  <c r="E20" i="1"/>
  <c r="E17" i="1"/>
  <c r="E14" i="1"/>
  <c r="P30" i="1" l="1"/>
</calcChain>
</file>

<file path=xl/sharedStrings.xml><?xml version="1.0" encoding="utf-8"?>
<sst xmlns="http://schemas.openxmlformats.org/spreadsheetml/2006/main" count="230" uniqueCount="82">
  <si>
    <t>физическими и/или юридическими лицами:</t>
  </si>
  <si>
    <t>Коммунальные услуги</t>
  </si>
  <si>
    <t xml:space="preserve"> общежитие №2</t>
  </si>
  <si>
    <t>общежитие №3</t>
  </si>
  <si>
    <t>общежитие №4</t>
  </si>
  <si>
    <t>Наименование</t>
  </si>
  <si>
    <r>
      <t xml:space="preserve"> - для обучающихся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за счет бюджетных ассигнований федерального бюджета:</t>
    </r>
  </si>
  <si>
    <r>
      <t xml:space="preserve">   - для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с полным возмещением затрат на обучение по договорам с </t>
    </r>
  </si>
  <si>
    <t>электроэнеригия  0,9</t>
  </si>
  <si>
    <t>отопление  0,5</t>
  </si>
  <si>
    <r>
      <t xml:space="preserve">Найм жилья    </t>
    </r>
    <r>
      <rPr>
        <b/>
        <i/>
        <sz val="8"/>
        <color rgb="FFC00000"/>
        <rFont val="Calibri"/>
        <family val="2"/>
        <charset val="204"/>
        <scheme val="minor"/>
      </rPr>
      <t xml:space="preserve"> 0,5;  1</t>
    </r>
  </si>
  <si>
    <t>газоснабжение   0.5</t>
  </si>
  <si>
    <t>комната  на 2 человека</t>
  </si>
  <si>
    <t>комната  на 3 человека</t>
  </si>
  <si>
    <t>общежитие № 1</t>
  </si>
  <si>
    <t xml:space="preserve"> общежитие № 2</t>
  </si>
  <si>
    <t xml:space="preserve"> общежитие № 3</t>
  </si>
  <si>
    <t xml:space="preserve"> общежитие № 4</t>
  </si>
  <si>
    <t>холодное водоснаб.                                                                                                       0,8</t>
  </si>
  <si>
    <t>горячее  водоснаб.                                                                                                                      0.8</t>
  </si>
  <si>
    <t>водоотведение                                                                                                                                 0,8</t>
  </si>
  <si>
    <t>комната  на 5 человек</t>
  </si>
  <si>
    <t xml:space="preserve"> Размер платы за коммунальные услуги для обучающихся, проживающих в общежитиях  с человека в месяц с 01.01.2021год:</t>
  </si>
  <si>
    <t xml:space="preserve">Средний размер платы </t>
  </si>
  <si>
    <t>Факт</t>
  </si>
  <si>
    <t>Утверждаю</t>
  </si>
  <si>
    <t>И.о.ректора ФГБОУ ВО ТГМУ</t>
  </si>
  <si>
    <t>Минздрава России</t>
  </si>
  <si>
    <t>_____________А.Б.Давыдов</t>
  </si>
  <si>
    <t>Начальник ПЭО</t>
  </si>
  <si>
    <t>И.Н.Каплова</t>
  </si>
  <si>
    <t>Приложение 2</t>
  </si>
  <si>
    <t>к Приказу № 864 от 06.11.2020</t>
  </si>
  <si>
    <t>Итого   (руб.)</t>
  </si>
  <si>
    <t>Твердые бытовы расходы       (руб.)</t>
  </si>
  <si>
    <t>Ректор ФГБОУ ВО ТГМУ</t>
  </si>
  <si>
    <t>_____________Л.В.Чичановская</t>
  </si>
  <si>
    <t>(без отопления)</t>
  </si>
  <si>
    <t>холодное водоснаб.                                                                                                       1,0</t>
  </si>
  <si>
    <t>горячее  водоснаб.                                                                                                                      1,0</t>
  </si>
  <si>
    <t>водоотведение                                                                                                                                 1,0</t>
  </si>
  <si>
    <t>газоснабжение  1,0</t>
  </si>
  <si>
    <t>Ю.А.Митрофановская</t>
  </si>
  <si>
    <t>Исполнитель</t>
  </si>
  <si>
    <t>Приложение 2.1.</t>
  </si>
  <si>
    <t>* В рамках утверждения размера платы за коммунальные услуги  суммы округлена по "правилу математики"</t>
  </si>
  <si>
    <t>Начальник ПЭУ</t>
  </si>
  <si>
    <t xml:space="preserve"> общежитие №1</t>
  </si>
  <si>
    <t>Расчет  размера  платы  за коммунальные услуги для обучающихся, проживающих в общежитиях  с человека в месяц с 01.09.2022 год:</t>
  </si>
  <si>
    <t>Е.В.Шаулина</t>
  </si>
  <si>
    <t>И.о.начальника ПЭУ</t>
  </si>
  <si>
    <t>М.Ю Крылова</t>
  </si>
  <si>
    <t>к приказу ФГБОУ ВО Тверской ГМУ Минздрава России</t>
  </si>
  <si>
    <t>от ________________ 2023 года № ______</t>
  </si>
  <si>
    <t xml:space="preserve">Установленный размер платы за коммунальные услуги для обучающихся, проживающих в общежитиях, с человека в месяц  в неотапливаемый период  </t>
  </si>
  <si>
    <r>
      <t xml:space="preserve"> - для обучающихся </t>
    </r>
    <r>
      <rPr>
        <b/>
        <sz val="12"/>
        <rFont val="Times New Roman"/>
        <family val="1"/>
        <charset val="204"/>
      </rPr>
      <t>за счет бюджетных ассигнований федерального бюджета:</t>
    </r>
  </si>
  <si>
    <r>
      <t xml:space="preserve">Найм жилья    </t>
    </r>
    <r>
      <rPr>
        <b/>
        <i/>
        <sz val="8"/>
        <rFont val="Times New Roman"/>
        <family val="1"/>
        <charset val="204"/>
      </rPr>
      <t xml:space="preserve"> 0,5;  1</t>
    </r>
  </si>
  <si>
    <r>
      <t xml:space="preserve">   - для обучающихся</t>
    </r>
    <r>
      <rPr>
        <b/>
        <sz val="12"/>
        <rFont val="Times New Roman"/>
        <family val="1"/>
        <charset val="204"/>
      </rPr>
      <t xml:space="preserve"> с полным возмещением затрат на обучение по договорам с физическими и/или юридическими лицами:</t>
    </r>
  </si>
  <si>
    <r>
      <t xml:space="preserve">Найм жилья    </t>
    </r>
    <r>
      <rPr>
        <b/>
        <sz val="8"/>
        <rFont val="Times New Roman"/>
        <family val="1"/>
        <charset val="204"/>
      </rPr>
      <t xml:space="preserve"> 0,5;  1</t>
    </r>
  </si>
  <si>
    <t>Итого размер платы за коммунальные услуги (руб.)</t>
  </si>
  <si>
    <t>холодное водоснабжение                                                                                          0,8</t>
  </si>
  <si>
    <t>горячее  водоснабжение                                                                                                                 0,8</t>
  </si>
  <si>
    <t>газоснабжение   
0,5</t>
  </si>
  <si>
    <t>электроэнергия  
0,9</t>
  </si>
  <si>
    <t>общежитие № 2</t>
  </si>
  <si>
    <t>общежитие № 3</t>
  </si>
  <si>
    <t>общежитие № 4</t>
  </si>
  <si>
    <t>холодное водоснабжение                                                                                                 1,0</t>
  </si>
  <si>
    <t>горячее  водоснабение                                                                                                                  1,0</t>
  </si>
  <si>
    <t>водоотведение                                                                                                                                1,0</t>
  </si>
  <si>
    <t>газоснабжение  
 1,0</t>
  </si>
  <si>
    <t>электроэнергия  0,9</t>
  </si>
  <si>
    <t>* В рамках утверждения размера платы за коммунальные услуги суммы  округлены по "правилу математики"</t>
  </si>
  <si>
    <t>И.о. начальника планово-экономического управления</t>
  </si>
  <si>
    <t>Е.В. Шаулина</t>
  </si>
  <si>
    <t>М.Ю. Крылова</t>
  </si>
  <si>
    <t>Размер платы за коммунальные услуги для обучающихся, проживающих в общежитиях ФГБОУ ВО Тверской ГМУ Минздрава России, 
в неотопительный период с человека в месяц с 01.12.2022</t>
  </si>
  <si>
    <t>комната на 2 человека</t>
  </si>
  <si>
    <t>комната на 3 человека</t>
  </si>
  <si>
    <t>комната на 5 человек</t>
  </si>
  <si>
    <t>Приложение № 2</t>
  </si>
  <si>
    <t>Вывоз твердых бытовых отходов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</si>
</sst>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₽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2" fontId="0" fillId="0" borderId="1" xfId="0" applyNumberFormat="1" applyBorder="1"/>
    <xf numFmtId="0" fontId="8" fillId="0" borderId="0" xfId="0" applyFont="1"/>
    <xf numFmtId="0" fontId="9" fillId="0" borderId="0" xfId="0" applyFont="1"/>
    <xf numFmtId="2" fontId="0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25" fillId="0" borderId="1" xfId="0" applyFont="1" applyBorder="1"/>
    <xf numFmtId="0" fontId="22" fillId="0" borderId="1" xfId="0" applyFont="1" applyBorder="1"/>
    <xf numFmtId="2" fontId="22" fillId="0" borderId="1" xfId="0" applyNumberFormat="1" applyFont="1" applyBorder="1"/>
    <xf numFmtId="165" fontId="22" fillId="0" borderId="1" xfId="0" applyNumberFormat="1" applyFont="1" applyBorder="1"/>
    <xf numFmtId="165" fontId="22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2" fontId="22" fillId="0" borderId="0" xfId="0" applyNumberFormat="1" applyFont="1"/>
    <xf numFmtId="165" fontId="2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29" fillId="0" borderId="1" xfId="0" applyFont="1" applyBorder="1"/>
    <xf numFmtId="0" fontId="25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5" fillId="0" borderId="1" xfId="0" applyNumberFormat="1" applyFont="1" applyBorder="1"/>
    <xf numFmtId="0" fontId="25" fillId="3" borderId="1" xfId="0" applyFont="1" applyFill="1" applyBorder="1"/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2" fillId="3" borderId="1" xfId="0" applyFont="1" applyFill="1" applyBorder="1"/>
    <xf numFmtId="0" fontId="12" fillId="0" borderId="2" xfId="0" applyFont="1" applyBorder="1" applyAlignment="1"/>
    <xf numFmtId="0" fontId="12" fillId="0" borderId="3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33" fillId="0" borderId="2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33" fillId="0" borderId="2" xfId="0" applyFont="1" applyBorder="1" applyAlignment="1"/>
    <xf numFmtId="0" fontId="33" fillId="0" borderId="3" xfId="0" applyFont="1" applyBorder="1" applyAlignment="1"/>
    <xf numFmtId="0" fontId="22" fillId="0" borderId="11" xfId="0" applyFont="1" applyBorder="1" applyAlignment="1">
      <alignment horizontal="left" wrapText="1"/>
    </xf>
    <xf numFmtId="0" fontId="22" fillId="0" borderId="3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32" fillId="2" borderId="2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8" fillId="0" borderId="1" xfId="0" applyFont="1" applyBorder="1" applyAlignment="1">
      <alignment wrapText="1"/>
    </xf>
    <xf numFmtId="2" fontId="35" fillId="0" borderId="0" xfId="0" applyNumberFormat="1" applyFont="1" applyAlignment="1">
      <alignment wrapText="1"/>
    </xf>
    <xf numFmtId="0" fontId="39" fillId="0" borderId="1" xfId="0" applyFont="1" applyBorder="1" applyAlignment="1">
      <alignment wrapText="1"/>
    </xf>
    <xf numFmtId="1" fontId="36" fillId="0" borderId="1" xfId="0" applyNumberFormat="1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5" fillId="0" borderId="1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3" fontId="38" fillId="0" borderId="1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3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wrapText="1"/>
    </xf>
    <xf numFmtId="2" fontId="38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1" fontId="36" fillId="0" borderId="1" xfId="0" applyNumberFormat="1" applyFont="1" applyFill="1" applyBorder="1" applyAlignment="1">
      <alignment horizontal="center" wrapText="1"/>
    </xf>
    <xf numFmtId="3" fontId="38" fillId="0" borderId="1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wrapText="1"/>
    </xf>
    <xf numFmtId="0" fontId="23" fillId="0" borderId="12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18" zoomScaleNormal="100" workbookViewId="0">
      <selection activeCell="G46" sqref="G46:I46"/>
    </sheetView>
  </sheetViews>
  <sheetFormatPr defaultRowHeight="15" x14ac:dyDescent="0.25"/>
  <cols>
    <col min="1" max="1" width="9.140625" style="140" hidden="1" customWidth="1"/>
    <col min="2" max="2" width="25.85546875" style="140" customWidth="1"/>
    <col min="3" max="3" width="17.5703125" style="140" customWidth="1"/>
    <col min="4" max="4" width="19.42578125" style="140" customWidth="1"/>
    <col min="5" max="5" width="17" style="140" customWidth="1"/>
    <col min="6" max="6" width="18" style="140" customWidth="1"/>
    <col min="7" max="7" width="17.85546875" style="140" customWidth="1"/>
    <col min="8" max="8" width="17.7109375" style="140" customWidth="1"/>
    <col min="9" max="9" width="21.7109375" style="140" customWidth="1"/>
    <col min="10" max="10" width="9.7109375" style="142" bestFit="1" customWidth="1"/>
    <col min="11" max="16384" width="9.140625" style="140"/>
  </cols>
  <sheetData>
    <row r="1" spans="2:11" ht="15.75" x14ac:dyDescent="0.25">
      <c r="G1" s="141" t="s">
        <v>80</v>
      </c>
      <c r="H1" s="141"/>
      <c r="I1" s="141"/>
    </row>
    <row r="2" spans="2:11" ht="15" hidden="1" customHeight="1" x14ac:dyDescent="0.25">
      <c r="G2" s="156" t="s">
        <v>25</v>
      </c>
    </row>
    <row r="3" spans="2:11" ht="30" hidden="1" x14ac:dyDescent="0.25">
      <c r="G3" s="140" t="s">
        <v>35</v>
      </c>
    </row>
    <row r="4" spans="2:11" ht="30" hidden="1" x14ac:dyDescent="0.25">
      <c r="G4" s="140" t="s">
        <v>27</v>
      </c>
    </row>
    <row r="5" spans="2:11" ht="30" hidden="1" x14ac:dyDescent="0.25">
      <c r="G5" s="140" t="s">
        <v>36</v>
      </c>
    </row>
    <row r="6" spans="2:11" ht="15.75" x14ac:dyDescent="0.25">
      <c r="B6" s="143"/>
      <c r="C6" s="143"/>
      <c r="D6" s="141" t="s">
        <v>52</v>
      </c>
      <c r="E6" s="141"/>
      <c r="F6" s="141"/>
      <c r="G6" s="141"/>
      <c r="H6" s="141"/>
      <c r="I6" s="141"/>
    </row>
    <row r="7" spans="2:11" ht="15.75" x14ac:dyDescent="0.25">
      <c r="B7" s="143"/>
      <c r="C7" s="143"/>
      <c r="D7" s="144"/>
      <c r="E7" s="144"/>
      <c r="F7" s="141" t="s">
        <v>53</v>
      </c>
      <c r="G7" s="141"/>
      <c r="H7" s="141"/>
      <c r="I7" s="141"/>
    </row>
    <row r="8" spans="2:11" ht="39" customHeight="1" x14ac:dyDescent="0.25">
      <c r="B8" s="181" t="s">
        <v>76</v>
      </c>
      <c r="C8" s="181"/>
      <c r="D8" s="181"/>
      <c r="E8" s="181"/>
      <c r="F8" s="181"/>
      <c r="G8" s="181"/>
      <c r="H8" s="181"/>
      <c r="I8" s="181"/>
    </row>
    <row r="9" spans="2:11" ht="15.75" x14ac:dyDescent="0.25">
      <c r="B9" s="145" t="s">
        <v>55</v>
      </c>
      <c r="C9" s="145"/>
      <c r="D9" s="145"/>
      <c r="E9" s="145"/>
      <c r="F9" s="145"/>
      <c r="G9" s="145"/>
      <c r="H9" s="145"/>
      <c r="I9" s="145"/>
    </row>
    <row r="10" spans="2:11" ht="4.5" customHeight="1" x14ac:dyDescent="0.25"/>
    <row r="11" spans="2:11" ht="15.75" x14ac:dyDescent="0.25">
      <c r="B11" s="159" t="s">
        <v>5</v>
      </c>
      <c r="C11" s="160" t="s">
        <v>1</v>
      </c>
      <c r="D11" s="160"/>
      <c r="E11" s="160"/>
      <c r="F11" s="160"/>
      <c r="G11" s="160"/>
      <c r="H11" s="161" t="s">
        <v>81</v>
      </c>
      <c r="I11" s="162" t="s">
        <v>59</v>
      </c>
    </row>
    <row r="12" spans="2:11" s="147" customFormat="1" ht="47.25" x14ac:dyDescent="0.25">
      <c r="B12" s="159"/>
      <c r="C12" s="163" t="s">
        <v>60</v>
      </c>
      <c r="D12" s="163" t="s">
        <v>61</v>
      </c>
      <c r="E12" s="163" t="s">
        <v>20</v>
      </c>
      <c r="F12" s="164" t="s">
        <v>62</v>
      </c>
      <c r="G12" s="164" t="s">
        <v>63</v>
      </c>
      <c r="H12" s="165"/>
      <c r="I12" s="166"/>
      <c r="J12" s="146"/>
    </row>
    <row r="13" spans="2:11" ht="15.75" x14ac:dyDescent="0.25">
      <c r="B13" s="167" t="s">
        <v>14</v>
      </c>
      <c r="C13" s="168"/>
      <c r="D13" s="169"/>
      <c r="E13" s="169"/>
      <c r="F13" s="169"/>
      <c r="G13" s="168"/>
      <c r="H13" s="169"/>
      <c r="I13" s="170"/>
      <c r="K13" s="149"/>
    </row>
    <row r="14" spans="2:11" ht="15.75" x14ac:dyDescent="0.25">
      <c r="B14" s="171" t="s">
        <v>77</v>
      </c>
      <c r="C14" s="172">
        <v>71</v>
      </c>
      <c r="D14" s="172">
        <v>261</v>
      </c>
      <c r="E14" s="172">
        <v>137</v>
      </c>
      <c r="F14" s="172">
        <v>54</v>
      </c>
      <c r="G14" s="172">
        <v>254</v>
      </c>
      <c r="H14" s="172">
        <v>95.8</v>
      </c>
      <c r="I14" s="173">
        <f>SUM(C14:H14)</f>
        <v>872.8</v>
      </c>
      <c r="J14" s="158"/>
      <c r="K14" s="149"/>
    </row>
    <row r="15" spans="2:11" ht="15.75" x14ac:dyDescent="0.25">
      <c r="B15" s="171" t="s">
        <v>78</v>
      </c>
      <c r="C15" s="172">
        <f>C14</f>
        <v>71</v>
      </c>
      <c r="D15" s="172">
        <f t="shared" ref="D15:F15" si="0">D14</f>
        <v>261</v>
      </c>
      <c r="E15" s="172">
        <f t="shared" si="0"/>
        <v>137</v>
      </c>
      <c r="F15" s="172">
        <f t="shared" si="0"/>
        <v>54</v>
      </c>
      <c r="G15" s="172">
        <v>199</v>
      </c>
      <c r="H15" s="172">
        <v>95.8</v>
      </c>
      <c r="I15" s="173">
        <f t="shared" ref="I15:I24" si="1">SUM(C15:H15)</f>
        <v>817.8</v>
      </c>
      <c r="J15" s="158"/>
      <c r="K15" s="149"/>
    </row>
    <row r="16" spans="2:11" ht="15.75" x14ac:dyDescent="0.25">
      <c r="B16" s="167" t="s">
        <v>64</v>
      </c>
      <c r="C16" s="172"/>
      <c r="D16" s="172"/>
      <c r="E16" s="172"/>
      <c r="F16" s="172"/>
      <c r="G16" s="172"/>
      <c r="H16" s="172"/>
      <c r="I16" s="173"/>
      <c r="J16" s="158"/>
    </row>
    <row r="17" spans="2:10" ht="15.75" x14ac:dyDescent="0.25">
      <c r="B17" s="171" t="s">
        <v>77</v>
      </c>
      <c r="C17" s="172">
        <v>71</v>
      </c>
      <c r="D17" s="172">
        <v>251</v>
      </c>
      <c r="E17" s="172">
        <v>137</v>
      </c>
      <c r="F17" s="172">
        <v>54</v>
      </c>
      <c r="G17" s="172">
        <v>254</v>
      </c>
      <c r="H17" s="172">
        <v>95.8</v>
      </c>
      <c r="I17" s="173">
        <f t="shared" si="1"/>
        <v>862.8</v>
      </c>
      <c r="J17" s="158"/>
    </row>
    <row r="18" spans="2:10" ht="15.75" x14ac:dyDescent="0.25">
      <c r="B18" s="171" t="s">
        <v>78</v>
      </c>
      <c r="C18" s="172">
        <f>C17</f>
        <v>71</v>
      </c>
      <c r="D18" s="172">
        <f t="shared" ref="D18:F18" si="2">D17</f>
        <v>251</v>
      </c>
      <c r="E18" s="172">
        <f t="shared" si="2"/>
        <v>137</v>
      </c>
      <c r="F18" s="172">
        <f t="shared" si="2"/>
        <v>54</v>
      </c>
      <c r="G18" s="172">
        <v>198</v>
      </c>
      <c r="H18" s="172">
        <v>95.8</v>
      </c>
      <c r="I18" s="173">
        <f t="shared" si="1"/>
        <v>806.8</v>
      </c>
      <c r="J18" s="158"/>
    </row>
    <row r="19" spans="2:10" ht="15.75" x14ac:dyDescent="0.25">
      <c r="B19" s="167" t="s">
        <v>65</v>
      </c>
      <c r="C19" s="172"/>
      <c r="D19" s="172"/>
      <c r="E19" s="172"/>
      <c r="F19" s="172"/>
      <c r="G19" s="172"/>
      <c r="H19" s="172"/>
      <c r="I19" s="173"/>
      <c r="J19" s="158"/>
    </row>
    <row r="20" spans="2:10" ht="15.75" x14ac:dyDescent="0.25">
      <c r="B20" s="171" t="s">
        <v>78</v>
      </c>
      <c r="C20" s="172">
        <v>80</v>
      </c>
      <c r="D20" s="172">
        <v>332</v>
      </c>
      <c r="E20" s="172">
        <v>156</v>
      </c>
      <c r="F20" s="172">
        <v>0</v>
      </c>
      <c r="G20" s="172">
        <v>212</v>
      </c>
      <c r="H20" s="172">
        <v>95.8</v>
      </c>
      <c r="I20" s="173">
        <f t="shared" si="1"/>
        <v>875.8</v>
      </c>
      <c r="J20" s="158"/>
    </row>
    <row r="21" spans="2:10" ht="15.75" x14ac:dyDescent="0.25">
      <c r="B21" s="171" t="s">
        <v>79</v>
      </c>
      <c r="C21" s="172">
        <v>80</v>
      </c>
      <c r="D21" s="172">
        <f t="shared" ref="D21:F21" si="3">D20</f>
        <v>332</v>
      </c>
      <c r="E21" s="172">
        <f t="shared" si="3"/>
        <v>156</v>
      </c>
      <c r="F21" s="172">
        <f t="shared" si="3"/>
        <v>0</v>
      </c>
      <c r="G21" s="172">
        <v>178</v>
      </c>
      <c r="H21" s="172">
        <v>95.8</v>
      </c>
      <c r="I21" s="173">
        <f t="shared" si="1"/>
        <v>841.8</v>
      </c>
      <c r="J21" s="158"/>
    </row>
    <row r="22" spans="2:10" ht="15.75" x14ac:dyDescent="0.25">
      <c r="B22" s="167" t="s">
        <v>66</v>
      </c>
      <c r="C22" s="172"/>
      <c r="D22" s="172"/>
      <c r="E22" s="172"/>
      <c r="F22" s="172"/>
      <c r="G22" s="172"/>
      <c r="H22" s="172"/>
      <c r="I22" s="173"/>
      <c r="J22" s="158"/>
    </row>
    <row r="23" spans="2:10" ht="15.75" x14ac:dyDescent="0.25">
      <c r="B23" s="171" t="s">
        <v>78</v>
      </c>
      <c r="C23" s="172">
        <v>80</v>
      </c>
      <c r="D23" s="172">
        <v>319</v>
      </c>
      <c r="E23" s="172">
        <v>156</v>
      </c>
      <c r="F23" s="172">
        <v>0</v>
      </c>
      <c r="G23" s="172">
        <v>212</v>
      </c>
      <c r="H23" s="172">
        <v>95.8</v>
      </c>
      <c r="I23" s="173">
        <f t="shared" si="1"/>
        <v>862.8</v>
      </c>
      <c r="J23" s="158"/>
    </row>
    <row r="24" spans="2:10" ht="15.75" x14ac:dyDescent="0.25">
      <c r="B24" s="171" t="s">
        <v>79</v>
      </c>
      <c r="C24" s="172">
        <f>C23</f>
        <v>80</v>
      </c>
      <c r="D24" s="172">
        <f t="shared" ref="D24:F24" si="4">D23</f>
        <v>319</v>
      </c>
      <c r="E24" s="172">
        <f t="shared" si="4"/>
        <v>156</v>
      </c>
      <c r="F24" s="172">
        <f t="shared" si="4"/>
        <v>0</v>
      </c>
      <c r="G24" s="172">
        <v>178</v>
      </c>
      <c r="H24" s="172">
        <v>95.8</v>
      </c>
      <c r="I24" s="173">
        <f t="shared" si="1"/>
        <v>828.8</v>
      </c>
      <c r="J24" s="158"/>
    </row>
    <row r="25" spans="2:10" ht="6.75" customHeight="1" x14ac:dyDescent="0.25">
      <c r="B25" s="174"/>
      <c r="C25" s="174"/>
      <c r="D25" s="174"/>
      <c r="E25" s="174"/>
      <c r="F25" s="174"/>
      <c r="G25" s="174"/>
      <c r="H25" s="174"/>
      <c r="I25" s="174"/>
      <c r="J25" s="158"/>
    </row>
    <row r="26" spans="2:10" ht="15.75" x14ac:dyDescent="0.25">
      <c r="B26" s="175" t="s">
        <v>57</v>
      </c>
      <c r="C26" s="175"/>
      <c r="D26" s="175"/>
      <c r="E26" s="175"/>
      <c r="F26" s="175"/>
      <c r="G26" s="175"/>
      <c r="H26" s="175"/>
      <c r="I26" s="175"/>
      <c r="J26" s="158"/>
    </row>
    <row r="27" spans="2:10" ht="15.75" customHeight="1" x14ac:dyDescent="0.25">
      <c r="B27" s="159" t="s">
        <v>5</v>
      </c>
      <c r="C27" s="160" t="s">
        <v>1</v>
      </c>
      <c r="D27" s="160"/>
      <c r="E27" s="160"/>
      <c r="F27" s="160"/>
      <c r="G27" s="160"/>
      <c r="H27" s="161" t="s">
        <v>81</v>
      </c>
      <c r="I27" s="162" t="s">
        <v>59</v>
      </c>
      <c r="J27" s="158"/>
    </row>
    <row r="28" spans="2:10" ht="47.25" x14ac:dyDescent="0.25">
      <c r="B28" s="159"/>
      <c r="C28" s="163" t="s">
        <v>67</v>
      </c>
      <c r="D28" s="163" t="s">
        <v>68</v>
      </c>
      <c r="E28" s="163" t="s">
        <v>69</v>
      </c>
      <c r="F28" s="164" t="s">
        <v>70</v>
      </c>
      <c r="G28" s="164" t="s">
        <v>71</v>
      </c>
      <c r="H28" s="165"/>
      <c r="I28" s="166"/>
      <c r="J28" s="158"/>
    </row>
    <row r="29" spans="2:10" ht="15.75" hidden="1" x14ac:dyDescent="0.25">
      <c r="B29" s="176"/>
      <c r="C29" s="177">
        <v>1</v>
      </c>
      <c r="D29" s="178">
        <v>1</v>
      </c>
      <c r="E29" s="178">
        <v>1</v>
      </c>
      <c r="F29" s="178">
        <v>1</v>
      </c>
      <c r="G29" s="178">
        <v>0.9</v>
      </c>
      <c r="H29" s="178"/>
      <c r="I29" s="178"/>
      <c r="J29" s="158"/>
    </row>
    <row r="30" spans="2:10" ht="15.75" x14ac:dyDescent="0.25">
      <c r="B30" s="167" t="s">
        <v>14</v>
      </c>
      <c r="C30" s="179"/>
      <c r="D30" s="179"/>
      <c r="E30" s="179"/>
      <c r="F30" s="169"/>
      <c r="G30" s="169"/>
      <c r="H30" s="169"/>
      <c r="I30" s="180"/>
      <c r="J30" s="158"/>
    </row>
    <row r="31" spans="2:10" ht="15.75" x14ac:dyDescent="0.25">
      <c r="B31" s="150" t="s">
        <v>77</v>
      </c>
      <c r="C31" s="151">
        <v>89</v>
      </c>
      <c r="D31" s="151">
        <v>326</v>
      </c>
      <c r="E31" s="151">
        <v>171</v>
      </c>
      <c r="F31" s="151">
        <v>108</v>
      </c>
      <c r="G31" s="151">
        <v>254</v>
      </c>
      <c r="H31" s="151">
        <v>95.8</v>
      </c>
      <c r="I31" s="157">
        <f t="shared" ref="I31:I41" si="5">SUM(C31:H31)</f>
        <v>1043.8</v>
      </c>
      <c r="J31" s="158"/>
    </row>
    <row r="32" spans="2:10" ht="15.75" x14ac:dyDescent="0.25">
      <c r="B32" s="150" t="s">
        <v>78</v>
      </c>
      <c r="C32" s="151">
        <v>89</v>
      </c>
      <c r="D32" s="151">
        <v>326</v>
      </c>
      <c r="E32" s="151">
        <v>171</v>
      </c>
      <c r="F32" s="151">
        <v>108</v>
      </c>
      <c r="G32" s="151">
        <v>198</v>
      </c>
      <c r="H32" s="151">
        <v>95.8</v>
      </c>
      <c r="I32" s="157">
        <f t="shared" si="5"/>
        <v>987.8</v>
      </c>
      <c r="J32" s="158"/>
    </row>
    <row r="33" spans="2:10" ht="15.75" x14ac:dyDescent="0.25">
      <c r="B33" s="148" t="s">
        <v>64</v>
      </c>
      <c r="C33" s="151"/>
      <c r="D33" s="151"/>
      <c r="E33" s="151"/>
      <c r="F33" s="151"/>
      <c r="G33" s="151"/>
      <c r="H33" s="151"/>
      <c r="I33" s="157"/>
      <c r="J33" s="158"/>
    </row>
    <row r="34" spans="2:10" ht="15.75" x14ac:dyDescent="0.25">
      <c r="B34" s="150" t="s">
        <v>77</v>
      </c>
      <c r="C34" s="151">
        <v>89</v>
      </c>
      <c r="D34" s="151">
        <v>313</v>
      </c>
      <c r="E34" s="151">
        <v>171</v>
      </c>
      <c r="F34" s="151">
        <v>108</v>
      </c>
      <c r="G34" s="151">
        <v>254</v>
      </c>
      <c r="H34" s="151">
        <v>95.8</v>
      </c>
      <c r="I34" s="157">
        <f t="shared" si="5"/>
        <v>1030.8</v>
      </c>
      <c r="J34" s="158"/>
    </row>
    <row r="35" spans="2:10" ht="15.75" x14ac:dyDescent="0.25">
      <c r="B35" s="150" t="s">
        <v>78</v>
      </c>
      <c r="C35" s="151">
        <v>89</v>
      </c>
      <c r="D35" s="151">
        <f>D34</f>
        <v>313</v>
      </c>
      <c r="E35" s="151">
        <f>E34</f>
        <v>171</v>
      </c>
      <c r="F35" s="151">
        <f>F34</f>
        <v>108</v>
      </c>
      <c r="G35" s="151">
        <v>198</v>
      </c>
      <c r="H35" s="151">
        <v>95.8</v>
      </c>
      <c r="I35" s="157">
        <f t="shared" si="5"/>
        <v>974.8</v>
      </c>
      <c r="J35" s="158"/>
    </row>
    <row r="36" spans="2:10" ht="15.75" x14ac:dyDescent="0.25">
      <c r="B36" s="148" t="s">
        <v>65</v>
      </c>
      <c r="C36" s="151"/>
      <c r="D36" s="151"/>
      <c r="E36" s="151"/>
      <c r="F36" s="151"/>
      <c r="G36" s="151"/>
      <c r="H36" s="151"/>
      <c r="I36" s="157"/>
      <c r="J36" s="158"/>
    </row>
    <row r="37" spans="2:10" ht="15.75" x14ac:dyDescent="0.25">
      <c r="B37" s="150" t="s">
        <v>78</v>
      </c>
      <c r="C37" s="151">
        <v>100</v>
      </c>
      <c r="D37" s="151">
        <v>415</v>
      </c>
      <c r="E37" s="151">
        <v>195</v>
      </c>
      <c r="F37" s="151">
        <v>0</v>
      </c>
      <c r="G37" s="151">
        <v>212</v>
      </c>
      <c r="H37" s="151">
        <v>95.8</v>
      </c>
      <c r="I37" s="157">
        <f t="shared" si="5"/>
        <v>1017.8</v>
      </c>
      <c r="J37" s="158"/>
    </row>
    <row r="38" spans="2:10" ht="15.75" x14ac:dyDescent="0.25">
      <c r="B38" s="150" t="s">
        <v>79</v>
      </c>
      <c r="C38" s="151">
        <f>C37</f>
        <v>100</v>
      </c>
      <c r="D38" s="151">
        <f>D37</f>
        <v>415</v>
      </c>
      <c r="E38" s="151">
        <f>E37</f>
        <v>195</v>
      </c>
      <c r="F38" s="151">
        <v>0</v>
      </c>
      <c r="G38" s="151">
        <v>178</v>
      </c>
      <c r="H38" s="151">
        <v>95.8</v>
      </c>
      <c r="I38" s="157">
        <f t="shared" si="5"/>
        <v>983.8</v>
      </c>
      <c r="J38" s="158"/>
    </row>
    <row r="39" spans="2:10" ht="15.75" x14ac:dyDescent="0.25">
      <c r="B39" s="148" t="s">
        <v>66</v>
      </c>
      <c r="C39" s="151"/>
      <c r="D39" s="151"/>
      <c r="E39" s="151"/>
      <c r="F39" s="151"/>
      <c r="G39" s="151"/>
      <c r="H39" s="151"/>
      <c r="I39" s="157"/>
      <c r="J39" s="158"/>
    </row>
    <row r="40" spans="2:10" ht="15.75" x14ac:dyDescent="0.25">
      <c r="B40" s="150" t="s">
        <v>78</v>
      </c>
      <c r="C40" s="151">
        <v>100</v>
      </c>
      <c r="D40" s="151">
        <v>399</v>
      </c>
      <c r="E40" s="151">
        <v>195</v>
      </c>
      <c r="F40" s="151">
        <v>0</v>
      </c>
      <c r="G40" s="151">
        <v>212</v>
      </c>
      <c r="H40" s="151">
        <v>95.8</v>
      </c>
      <c r="I40" s="157">
        <f t="shared" si="5"/>
        <v>1001.8</v>
      </c>
      <c r="J40" s="158"/>
    </row>
    <row r="41" spans="2:10" ht="15.75" x14ac:dyDescent="0.25">
      <c r="B41" s="150" t="s">
        <v>79</v>
      </c>
      <c r="C41" s="151">
        <f>C40</f>
        <v>100</v>
      </c>
      <c r="D41" s="151">
        <f>D40</f>
        <v>399</v>
      </c>
      <c r="E41" s="151">
        <f>E40</f>
        <v>195</v>
      </c>
      <c r="F41" s="151">
        <v>0</v>
      </c>
      <c r="G41" s="151">
        <v>178</v>
      </c>
      <c r="H41" s="151">
        <v>95.8</v>
      </c>
      <c r="I41" s="157">
        <f t="shared" si="5"/>
        <v>967.8</v>
      </c>
      <c r="J41" s="158"/>
    </row>
    <row r="42" spans="2:10" ht="18.75" customHeight="1" x14ac:dyDescent="0.25">
      <c r="B42" s="153" t="s">
        <v>72</v>
      </c>
      <c r="C42" s="153"/>
      <c r="D42" s="153"/>
      <c r="E42" s="153"/>
      <c r="F42" s="153"/>
      <c r="G42" s="153"/>
      <c r="H42" s="153"/>
      <c r="I42" s="153"/>
    </row>
    <row r="43" spans="2:10" ht="6" customHeight="1" x14ac:dyDescent="0.25"/>
    <row r="44" spans="2:10" ht="15.75" x14ac:dyDescent="0.25">
      <c r="B44" s="154" t="s">
        <v>73</v>
      </c>
      <c r="C44" s="154"/>
      <c r="D44" s="154"/>
      <c r="E44" s="154"/>
      <c r="F44" s="154"/>
      <c r="G44" s="141" t="s">
        <v>74</v>
      </c>
      <c r="H44" s="141"/>
      <c r="I44" s="141"/>
    </row>
    <row r="45" spans="2:10" ht="15.75" x14ac:dyDescent="0.25">
      <c r="B45" s="155"/>
      <c r="C45" s="155"/>
      <c r="D45" s="155"/>
      <c r="E45" s="152"/>
      <c r="F45" s="152"/>
      <c r="G45" s="144"/>
      <c r="H45" s="144"/>
      <c r="I45" s="144"/>
    </row>
    <row r="46" spans="2:10" ht="15.75" x14ac:dyDescent="0.25">
      <c r="B46" s="154" t="s">
        <v>43</v>
      </c>
      <c r="C46" s="154"/>
      <c r="D46" s="154"/>
      <c r="E46" s="152"/>
      <c r="F46" s="152"/>
      <c r="G46" s="141" t="s">
        <v>75</v>
      </c>
      <c r="H46" s="141"/>
      <c r="I46" s="141"/>
    </row>
  </sheetData>
  <mergeCells count="19">
    <mergeCell ref="B42:I42"/>
    <mergeCell ref="B44:F44"/>
    <mergeCell ref="B46:D46"/>
    <mergeCell ref="G44:I44"/>
    <mergeCell ref="G46:I46"/>
    <mergeCell ref="B11:B12"/>
    <mergeCell ref="C11:G11"/>
    <mergeCell ref="H11:H12"/>
    <mergeCell ref="I11:I12"/>
    <mergeCell ref="B26:I26"/>
    <mergeCell ref="B27:B28"/>
    <mergeCell ref="C27:G27"/>
    <mergeCell ref="H27:H28"/>
    <mergeCell ref="I27:I28"/>
    <mergeCell ref="G1:I1"/>
    <mergeCell ref="D6:I6"/>
    <mergeCell ref="F7:I7"/>
    <mergeCell ref="B8:I8"/>
    <mergeCell ref="B9:I9"/>
  </mergeCells>
  <pageMargins left="1.1023622047244095" right="0" top="0.35433070866141736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topLeftCell="A7" workbookViewId="0">
      <selection activeCell="M4" sqref="M4"/>
    </sheetView>
  </sheetViews>
  <sheetFormatPr defaultRowHeight="15" x14ac:dyDescent="0.25"/>
  <cols>
    <col min="4" max="4" width="10.28515625" customWidth="1"/>
    <col min="5" max="5" width="0.140625" customWidth="1"/>
    <col min="6" max="6" width="0.140625" hidden="1" customWidth="1"/>
    <col min="7" max="7" width="7.85546875" customWidth="1"/>
    <col min="8" max="8" width="7.28515625" hidden="1" customWidth="1"/>
    <col min="10" max="10" width="8" hidden="1" customWidth="1"/>
    <col min="14" max="14" width="10.85546875" hidden="1" customWidth="1"/>
    <col min="15" max="15" width="10.85546875" customWidth="1"/>
    <col min="16" max="16" width="0" hidden="1" customWidth="1"/>
    <col min="17" max="17" width="16.42578125" customWidth="1"/>
    <col min="18" max="19" width="0" hidden="1" customWidth="1"/>
  </cols>
  <sheetData>
    <row r="1" spans="2:21" x14ac:dyDescent="0.25">
      <c r="M1" s="32" t="s">
        <v>31</v>
      </c>
      <c r="N1" t="s">
        <v>25</v>
      </c>
    </row>
    <row r="2" spans="2:21" x14ac:dyDescent="0.25">
      <c r="M2" s="33" t="s">
        <v>25</v>
      </c>
    </row>
    <row r="3" spans="2:21" x14ac:dyDescent="0.25">
      <c r="M3" t="s">
        <v>32</v>
      </c>
    </row>
    <row r="4" spans="2:21" x14ac:dyDescent="0.25">
      <c r="M4" t="s">
        <v>26</v>
      </c>
    </row>
    <row r="5" spans="2:21" x14ac:dyDescent="0.25">
      <c r="M5" t="s">
        <v>27</v>
      </c>
    </row>
    <row r="6" spans="2:21" x14ac:dyDescent="0.25">
      <c r="M6" t="s">
        <v>28</v>
      </c>
    </row>
    <row r="7" spans="2:21" ht="15.7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1" ht="27.75" customHeight="1" x14ac:dyDescent="0.25">
      <c r="B8" s="86" t="s">
        <v>22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2:21" ht="9.75" customHeight="1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2:21" ht="15.75" x14ac:dyDescent="0.25">
      <c r="C10" t="s">
        <v>6</v>
      </c>
    </row>
    <row r="11" spans="2:21" ht="10.5" customHeight="1" x14ac:dyDescent="0.25"/>
    <row r="12" spans="2:21" ht="15" customHeight="1" x14ac:dyDescent="0.25">
      <c r="C12" s="67" t="s">
        <v>5</v>
      </c>
      <c r="D12" s="68"/>
      <c r="E12" s="77" t="s">
        <v>10</v>
      </c>
      <c r="F12" s="88" t="s">
        <v>1</v>
      </c>
      <c r="G12" s="88"/>
      <c r="H12" s="88"/>
      <c r="I12" s="88"/>
      <c r="J12" s="88"/>
      <c r="K12" s="88"/>
      <c r="L12" s="88"/>
      <c r="M12" s="88"/>
      <c r="N12" s="88"/>
      <c r="O12" s="93" t="s">
        <v>34</v>
      </c>
      <c r="P12" s="82" t="s">
        <v>33</v>
      </c>
      <c r="Q12" s="83"/>
      <c r="R12" s="78" t="s">
        <v>23</v>
      </c>
      <c r="S12" s="80" t="s">
        <v>24</v>
      </c>
    </row>
    <row r="13" spans="2:21" ht="35.25" customHeight="1" x14ac:dyDescent="0.25">
      <c r="C13" s="69"/>
      <c r="D13" s="70"/>
      <c r="E13" s="77"/>
      <c r="F13" s="89" t="s">
        <v>18</v>
      </c>
      <c r="G13" s="90"/>
      <c r="H13" s="91" t="s">
        <v>19</v>
      </c>
      <c r="I13" s="92"/>
      <c r="J13" s="91" t="s">
        <v>20</v>
      </c>
      <c r="K13" s="92"/>
      <c r="L13" s="23" t="s">
        <v>11</v>
      </c>
      <c r="M13" s="24" t="s">
        <v>8</v>
      </c>
      <c r="N13" s="25" t="s">
        <v>9</v>
      </c>
      <c r="O13" s="94"/>
      <c r="P13" s="84"/>
      <c r="Q13" s="85"/>
      <c r="R13" s="79"/>
      <c r="S13" s="81"/>
    </row>
    <row r="14" spans="2:21" x14ac:dyDescent="0.25">
      <c r="C14" s="4" t="s">
        <v>14</v>
      </c>
      <c r="D14" s="3"/>
      <c r="E14" s="9">
        <f>6.66*5.59*0.5</f>
        <v>18.614699999999999</v>
      </c>
      <c r="F14" s="6">
        <f>3.61*21.95*0.5</f>
        <v>39.619749999999996</v>
      </c>
      <c r="G14" s="6"/>
      <c r="H14" s="3"/>
      <c r="I14" s="11"/>
      <c r="J14" s="6"/>
      <c r="K14" s="11"/>
      <c r="L14" s="13"/>
      <c r="M14" s="6"/>
      <c r="N14" s="11"/>
      <c r="O14" s="11"/>
      <c r="P14" s="15">
        <f>F14+H14+J14+L14+M14+N14</f>
        <v>39.619749999999996</v>
      </c>
      <c r="Q14" s="14"/>
      <c r="R14" s="14">
        <f>(Q15+Q16)/2</f>
        <v>743.53</v>
      </c>
      <c r="S14" s="28">
        <f>810.92</f>
        <v>810.92</v>
      </c>
      <c r="U14" s="2"/>
    </row>
    <row r="15" spans="2:21" ht="15.75" x14ac:dyDescent="0.25">
      <c r="C15" s="71" t="s">
        <v>12</v>
      </c>
      <c r="D15" s="74"/>
      <c r="E15" s="9"/>
      <c r="F15" s="6"/>
      <c r="G15" s="11">
        <f>63.39</f>
        <v>63.39</v>
      </c>
      <c r="H15" s="3"/>
      <c r="I15" s="11">
        <f>219.55</f>
        <v>219.55</v>
      </c>
      <c r="J15" s="6"/>
      <c r="K15" s="11">
        <v>115.77</v>
      </c>
      <c r="L15" s="13">
        <v>47.26</v>
      </c>
      <c r="M15" s="11">
        <v>226.74</v>
      </c>
      <c r="N15" s="11"/>
      <c r="O15" s="11">
        <v>95.8</v>
      </c>
      <c r="P15" s="15"/>
      <c r="Q15" s="20">
        <f>G15+I15+K15+L15+M15+O15</f>
        <v>768.51</v>
      </c>
      <c r="R15" s="12"/>
      <c r="S15" s="29"/>
      <c r="U15" s="2"/>
    </row>
    <row r="16" spans="2:21" ht="15.75" x14ac:dyDescent="0.25">
      <c r="C16" s="71" t="s">
        <v>13</v>
      </c>
      <c r="D16" s="72"/>
      <c r="E16" s="5"/>
      <c r="F16" s="5"/>
      <c r="G16" s="12">
        <v>63.39</v>
      </c>
      <c r="H16" s="3"/>
      <c r="I16" s="12">
        <v>219.55</v>
      </c>
      <c r="J16" s="3"/>
      <c r="K16" s="12">
        <v>115.77</v>
      </c>
      <c r="L16" s="19">
        <v>47.26</v>
      </c>
      <c r="M16" s="11">
        <v>176.78</v>
      </c>
      <c r="N16" s="12"/>
      <c r="O16" s="11">
        <v>95.8</v>
      </c>
      <c r="P16" s="15"/>
      <c r="Q16" s="20">
        <f>G16+I16+K16+L16+M16+O16</f>
        <v>718.55</v>
      </c>
      <c r="R16" s="12"/>
      <c r="S16" s="29"/>
      <c r="U16" s="2"/>
    </row>
    <row r="17" spans="3:19" ht="15.75" x14ac:dyDescent="0.25">
      <c r="C17" s="4" t="s">
        <v>15</v>
      </c>
      <c r="D17" s="3"/>
      <c r="E17" s="6">
        <f>6.66*5.85*0.5</f>
        <v>19.480499999999999</v>
      </c>
      <c r="F17" s="3">
        <f>3.61*21.95*0.5</f>
        <v>39.619749999999996</v>
      </c>
      <c r="G17" s="11"/>
      <c r="H17" s="3"/>
      <c r="I17" s="11"/>
      <c r="J17" s="6"/>
      <c r="K17" s="11"/>
      <c r="L17" s="11"/>
      <c r="M17" s="11"/>
      <c r="N17" s="11"/>
      <c r="O17" s="11"/>
      <c r="P17" s="15"/>
      <c r="Q17" s="20"/>
      <c r="R17" s="27">
        <f>(Q18+Q19)/2</f>
        <v>734.75</v>
      </c>
      <c r="S17" s="28">
        <f>841.64</f>
        <v>841.64</v>
      </c>
    </row>
    <row r="18" spans="3:19" ht="15.75" x14ac:dyDescent="0.25">
      <c r="C18" s="71" t="s">
        <v>12</v>
      </c>
      <c r="D18" s="73"/>
      <c r="E18" s="6"/>
      <c r="F18" s="3"/>
      <c r="G18" s="11">
        <f>63.39</f>
        <v>63.39</v>
      </c>
      <c r="H18" s="3"/>
      <c r="I18" s="11">
        <v>210.77</v>
      </c>
      <c r="J18" s="6"/>
      <c r="K18" s="11">
        <v>115.77</v>
      </c>
      <c r="L18" s="11">
        <v>47.26</v>
      </c>
      <c r="M18" s="11">
        <v>226.74</v>
      </c>
      <c r="N18" s="11"/>
      <c r="O18" s="11">
        <v>95.8</v>
      </c>
      <c r="P18" s="15"/>
      <c r="Q18" s="20">
        <f>G18+I18+K18+L18+M18+O18</f>
        <v>759.73</v>
      </c>
      <c r="R18" s="12"/>
      <c r="S18" s="29"/>
    </row>
    <row r="19" spans="3:19" ht="15.75" x14ac:dyDescent="0.25">
      <c r="C19" s="65" t="s">
        <v>13</v>
      </c>
      <c r="D19" s="66"/>
      <c r="E19" s="5"/>
      <c r="F19" s="5"/>
      <c r="G19" s="12">
        <v>63.39</v>
      </c>
      <c r="H19" s="3"/>
      <c r="I19" s="12">
        <v>210.77</v>
      </c>
      <c r="J19" s="3"/>
      <c r="K19" s="12">
        <v>115.77</v>
      </c>
      <c r="L19" s="12">
        <v>47.26</v>
      </c>
      <c r="M19" s="12">
        <v>176.78</v>
      </c>
      <c r="N19" s="12"/>
      <c r="O19" s="11">
        <v>95.8</v>
      </c>
      <c r="P19" s="16"/>
      <c r="Q19" s="20">
        <f>G19+I19+K19+L19+M19+O19</f>
        <v>709.77</v>
      </c>
      <c r="R19" s="12"/>
      <c r="S19" s="29"/>
    </row>
    <row r="20" spans="3:19" ht="15.75" x14ac:dyDescent="0.25">
      <c r="C20" s="4" t="s">
        <v>16</v>
      </c>
      <c r="D20" s="3"/>
      <c r="E20" s="6">
        <f>11.12*7.91*1</f>
        <v>87.959199999999996</v>
      </c>
      <c r="F20" s="3">
        <f>4.04*21.95*0.5</f>
        <v>44.338999999999999</v>
      </c>
      <c r="G20" s="11"/>
      <c r="H20" s="3"/>
      <c r="I20" s="11"/>
      <c r="J20" s="10"/>
      <c r="K20" s="11"/>
      <c r="L20" s="12"/>
      <c r="M20" s="11"/>
      <c r="N20" s="11"/>
      <c r="O20" s="11"/>
      <c r="P20" s="15"/>
      <c r="Q20" s="20"/>
      <c r="R20" s="14">
        <f>(Q21+Q22)/2</f>
        <v>751.64999999999986</v>
      </c>
      <c r="S20" s="28">
        <f>(917.9+944.13)/2</f>
        <v>931.01499999999999</v>
      </c>
    </row>
    <row r="21" spans="3:19" ht="15" customHeight="1" x14ac:dyDescent="0.25">
      <c r="C21" s="71" t="s">
        <v>13</v>
      </c>
      <c r="D21" s="73"/>
      <c r="E21" s="6"/>
      <c r="F21" s="3"/>
      <c r="G21" s="11">
        <v>70.94</v>
      </c>
      <c r="H21" s="3"/>
      <c r="I21" s="11">
        <v>279.08</v>
      </c>
      <c r="J21" s="10"/>
      <c r="K21" s="11">
        <v>132.26</v>
      </c>
      <c r="L21" s="12">
        <v>0</v>
      </c>
      <c r="M21" s="11">
        <v>188.37</v>
      </c>
      <c r="N21" s="11"/>
      <c r="O21" s="11">
        <v>95.8</v>
      </c>
      <c r="P21" s="15"/>
      <c r="Q21" s="20">
        <f>G21+I21+K21+L21+M21+O21</f>
        <v>766.44999999999993</v>
      </c>
      <c r="R21" s="12"/>
      <c r="S21" s="29"/>
    </row>
    <row r="22" spans="3:19" ht="15.75" x14ac:dyDescent="0.25">
      <c r="C22" s="65" t="s">
        <v>21</v>
      </c>
      <c r="D22" s="66"/>
      <c r="E22" s="5"/>
      <c r="F22" s="3"/>
      <c r="G22" s="12">
        <v>70.94</v>
      </c>
      <c r="H22" s="3"/>
      <c r="I22" s="12">
        <v>279.08</v>
      </c>
      <c r="J22" s="3"/>
      <c r="K22" s="12">
        <v>132.26</v>
      </c>
      <c r="L22" s="12">
        <v>0</v>
      </c>
      <c r="M22" s="12">
        <v>158.77000000000001</v>
      </c>
      <c r="N22" s="12"/>
      <c r="O22" s="11">
        <v>95.8</v>
      </c>
      <c r="P22" s="16"/>
      <c r="Q22" s="20">
        <f>G22+I22+K22+L22+M22+O22</f>
        <v>736.84999999999991</v>
      </c>
      <c r="R22" s="12"/>
      <c r="S22" s="29"/>
    </row>
    <row r="23" spans="3:19" ht="15.75" x14ac:dyDescent="0.25">
      <c r="C23" s="4" t="s">
        <v>17</v>
      </c>
      <c r="D23" s="3"/>
      <c r="E23" s="6">
        <f>11.12*7.91*1</f>
        <v>87.959199999999996</v>
      </c>
      <c r="F23" s="3">
        <f>4.04*21.95*0.5</f>
        <v>44.338999999999999</v>
      </c>
      <c r="G23" s="11"/>
      <c r="H23" s="3"/>
      <c r="I23" s="11"/>
      <c r="J23" s="10"/>
      <c r="K23" s="11"/>
      <c r="L23" s="12"/>
      <c r="M23" s="11"/>
      <c r="N23" s="11"/>
      <c r="O23" s="11"/>
      <c r="P23" s="15"/>
      <c r="Q23" s="20"/>
      <c r="R23" s="14">
        <f>(Q24+Q25)/2</f>
        <v>741.31</v>
      </c>
      <c r="S23" s="28">
        <f>1091.27</f>
        <v>1091.27</v>
      </c>
    </row>
    <row r="24" spans="3:19" ht="15" customHeight="1" x14ac:dyDescent="0.25">
      <c r="C24" s="71" t="s">
        <v>13</v>
      </c>
      <c r="D24" s="73"/>
      <c r="E24" s="6"/>
      <c r="F24" s="3"/>
      <c r="G24" s="11">
        <v>70.94</v>
      </c>
      <c r="H24" s="3"/>
      <c r="I24" s="11">
        <v>268.74</v>
      </c>
      <c r="J24" s="10"/>
      <c r="K24" s="11">
        <v>132.26</v>
      </c>
      <c r="L24" s="12">
        <v>0</v>
      </c>
      <c r="M24" s="11">
        <v>188.37</v>
      </c>
      <c r="N24" s="11"/>
      <c r="O24" s="11">
        <v>95.8</v>
      </c>
      <c r="P24" s="15"/>
      <c r="Q24" s="20">
        <f>G24+I24+K24+L24+M24+O24</f>
        <v>756.1099999999999</v>
      </c>
      <c r="R24" s="12"/>
      <c r="S24" s="29"/>
    </row>
    <row r="25" spans="3:19" ht="15.75" x14ac:dyDescent="0.25">
      <c r="C25" s="65" t="s">
        <v>21</v>
      </c>
      <c r="D25" s="66"/>
      <c r="E25" s="5"/>
      <c r="F25" s="3"/>
      <c r="G25" s="12">
        <v>70.94</v>
      </c>
      <c r="H25" s="3"/>
      <c r="I25" s="12">
        <v>268.74</v>
      </c>
      <c r="J25" s="3"/>
      <c r="K25" s="12">
        <v>132.26</v>
      </c>
      <c r="L25" s="12">
        <v>0</v>
      </c>
      <c r="M25" s="12">
        <v>158.77000000000001</v>
      </c>
      <c r="N25" s="12"/>
      <c r="O25" s="11">
        <v>95.8</v>
      </c>
      <c r="P25" s="16"/>
      <c r="Q25" s="20">
        <f>G25+I25+L25+K25+M25+O25</f>
        <v>726.51</v>
      </c>
      <c r="R25" s="12"/>
      <c r="S25" s="29"/>
    </row>
    <row r="26" spans="3:19" ht="8.25" customHeight="1" x14ac:dyDescent="0.25">
      <c r="P26" s="7"/>
    </row>
    <row r="27" spans="3:19" ht="15.75" x14ac:dyDescent="0.25">
      <c r="C27" t="s">
        <v>7</v>
      </c>
      <c r="P27" s="7"/>
    </row>
    <row r="28" spans="3:19" ht="15.75" x14ac:dyDescent="0.25">
      <c r="C28" s="8" t="s">
        <v>0</v>
      </c>
      <c r="N28" s="22"/>
      <c r="O28" s="22"/>
      <c r="P28" s="7"/>
      <c r="Q28" s="22"/>
    </row>
    <row r="29" spans="3:19" x14ac:dyDescent="0.25">
      <c r="F29">
        <v>1</v>
      </c>
      <c r="G29">
        <v>1</v>
      </c>
      <c r="H29">
        <v>1</v>
      </c>
      <c r="I29" s="22">
        <v>1</v>
      </c>
      <c r="J29">
        <v>1</v>
      </c>
      <c r="K29" s="22">
        <v>1</v>
      </c>
      <c r="L29" s="22">
        <v>1</v>
      </c>
      <c r="M29" s="22">
        <v>0.9</v>
      </c>
      <c r="N29" s="22">
        <v>0.5</v>
      </c>
      <c r="O29" s="22"/>
      <c r="P29" s="7"/>
      <c r="Q29" s="22"/>
    </row>
    <row r="30" spans="3:19" ht="15.75" x14ac:dyDescent="0.25">
      <c r="C30" s="4" t="s">
        <v>2</v>
      </c>
      <c r="D30" s="3"/>
      <c r="E30" s="3">
        <v>19.48</v>
      </c>
      <c r="F30" s="3">
        <f>3.61*21.95*1</f>
        <v>79.239499999999992</v>
      </c>
      <c r="G30" s="12"/>
      <c r="H30" s="3">
        <f>2.43*108.42*1</f>
        <v>263.4606</v>
      </c>
      <c r="I30" s="12"/>
      <c r="J30" s="6">
        <f>6.04*23.96*1</f>
        <v>144.7184</v>
      </c>
      <c r="K30" s="12"/>
      <c r="L30" s="11"/>
      <c r="M30" s="11"/>
      <c r="N30" s="11"/>
      <c r="O30" s="11"/>
      <c r="P30" s="15">
        <f>E30+F30+H30+J30+L30+M30+N30</f>
        <v>506.89850000000001</v>
      </c>
      <c r="Q30" s="21"/>
      <c r="R30" s="26">
        <f>(Q31+Q32)/2</f>
        <v>879.49099999999999</v>
      </c>
      <c r="S30" s="30">
        <f>1002.71</f>
        <v>1002.71</v>
      </c>
    </row>
    <row r="31" spans="3:19" ht="15" customHeight="1" x14ac:dyDescent="0.25">
      <c r="C31" s="71" t="s">
        <v>12</v>
      </c>
      <c r="D31" s="74"/>
      <c r="E31" s="3"/>
      <c r="F31" s="3"/>
      <c r="G31" s="12">
        <v>79.239999999999995</v>
      </c>
      <c r="H31" s="3"/>
      <c r="I31" s="12">
        <v>263.45999999999998</v>
      </c>
      <c r="J31" s="6"/>
      <c r="K31" s="12">
        <v>144.72</v>
      </c>
      <c r="L31" s="11">
        <v>94.512</v>
      </c>
      <c r="M31" s="11">
        <v>226.74</v>
      </c>
      <c r="N31" s="11"/>
      <c r="O31" s="11">
        <v>95.8</v>
      </c>
      <c r="P31" s="15"/>
      <c r="Q31" s="20">
        <f>G31+I31+K31+L31+M31+O31</f>
        <v>904.47199999999998</v>
      </c>
      <c r="R31" s="3"/>
      <c r="S31" s="31"/>
    </row>
    <row r="32" spans="3:19" ht="15.75" x14ac:dyDescent="0.25">
      <c r="C32" s="65" t="s">
        <v>13</v>
      </c>
      <c r="D32" s="66"/>
      <c r="E32" s="3"/>
      <c r="F32" s="3"/>
      <c r="G32" s="12">
        <v>79.239999999999995</v>
      </c>
      <c r="H32" s="3"/>
      <c r="I32" s="12">
        <v>263.45999999999998</v>
      </c>
      <c r="J32" s="3"/>
      <c r="K32" s="12">
        <v>144.72</v>
      </c>
      <c r="L32" s="12">
        <v>94.51</v>
      </c>
      <c r="M32" s="12">
        <v>176.78</v>
      </c>
      <c r="N32" s="12"/>
      <c r="O32" s="11">
        <v>95.8</v>
      </c>
      <c r="P32" s="17"/>
      <c r="Q32" s="21">
        <f>G32+I32+K32+L32+M32+O32</f>
        <v>854.50999999999988</v>
      </c>
      <c r="R32" s="3"/>
      <c r="S32" s="31"/>
    </row>
    <row r="33" spans="3:19" ht="15.75" x14ac:dyDescent="0.25">
      <c r="C33" s="4" t="s">
        <v>3</v>
      </c>
      <c r="D33" s="3"/>
      <c r="E33" s="6">
        <f>11.12*7.91*1</f>
        <v>87.959199999999996</v>
      </c>
      <c r="F33" s="3">
        <f>4.04*21.95*1</f>
        <v>88.677999999999997</v>
      </c>
      <c r="G33" s="12"/>
      <c r="H33" s="3"/>
      <c r="I33" s="12"/>
      <c r="J33" s="6"/>
      <c r="K33" s="12"/>
      <c r="L33" s="12"/>
      <c r="M33" s="11"/>
      <c r="N33" s="11"/>
      <c r="O33" s="11"/>
      <c r="P33" s="18"/>
      <c r="Q33" s="21"/>
      <c r="R33" s="26">
        <f>(Q34+Q35)/2</f>
        <v>872.22</v>
      </c>
      <c r="S33" s="30">
        <f>(1058.44+1080.04)/2</f>
        <v>1069.24</v>
      </c>
    </row>
    <row r="34" spans="3:19" ht="15" customHeight="1" x14ac:dyDescent="0.25">
      <c r="C34" s="71" t="s">
        <v>13</v>
      </c>
      <c r="D34" s="75"/>
      <c r="E34" s="76"/>
      <c r="F34" s="3"/>
      <c r="G34" s="12">
        <v>88.68</v>
      </c>
      <c r="H34" s="3"/>
      <c r="I34" s="12">
        <v>348.85</v>
      </c>
      <c r="J34" s="6"/>
      <c r="K34" s="12">
        <v>165.32</v>
      </c>
      <c r="L34" s="12">
        <v>0</v>
      </c>
      <c r="M34" s="11">
        <v>188.37</v>
      </c>
      <c r="N34" s="11"/>
      <c r="O34" s="11">
        <v>95.8</v>
      </c>
      <c r="P34" s="18"/>
      <c r="Q34" s="20">
        <f>G34+I34+K34+L34+M34+O34</f>
        <v>887.02</v>
      </c>
      <c r="R34" s="3"/>
      <c r="S34" s="31"/>
    </row>
    <row r="35" spans="3:19" ht="15.75" x14ac:dyDescent="0.25">
      <c r="C35" s="65" t="s">
        <v>21</v>
      </c>
      <c r="D35" s="66"/>
      <c r="E35" s="3"/>
      <c r="F35" s="3"/>
      <c r="G35" s="12">
        <v>88.68</v>
      </c>
      <c r="H35" s="3"/>
      <c r="I35" s="12">
        <v>348.85</v>
      </c>
      <c r="J35" s="3"/>
      <c r="K35" s="12">
        <v>165.32</v>
      </c>
      <c r="L35" s="12">
        <v>0</v>
      </c>
      <c r="M35" s="12">
        <v>158.77000000000001</v>
      </c>
      <c r="N35" s="12"/>
      <c r="O35" s="11">
        <f>95.8</f>
        <v>95.8</v>
      </c>
      <c r="P35" s="17"/>
      <c r="Q35" s="21">
        <f>G35+I35+K35+L35+M35+O35</f>
        <v>857.42</v>
      </c>
      <c r="R35" s="3"/>
      <c r="S35" s="31"/>
    </row>
    <row r="36" spans="3:19" ht="15.75" x14ac:dyDescent="0.25">
      <c r="C36" s="4" t="s">
        <v>4</v>
      </c>
      <c r="D36" s="3"/>
      <c r="E36" s="6">
        <f>11.12*7.91*1</f>
        <v>87.959199999999996</v>
      </c>
      <c r="F36" s="3">
        <f>4.04*21.95*1</f>
        <v>88.677999999999997</v>
      </c>
      <c r="G36" s="12"/>
      <c r="H36" s="3"/>
      <c r="I36" s="12"/>
      <c r="J36" s="6"/>
      <c r="K36" s="12"/>
      <c r="L36" s="12"/>
      <c r="M36" s="11"/>
      <c r="N36" s="11"/>
      <c r="O36" s="11"/>
      <c r="P36" s="18"/>
      <c r="Q36" s="21"/>
      <c r="R36" s="26">
        <f>(Q37+Q38)/2</f>
        <v>859.3</v>
      </c>
      <c r="S36" s="30">
        <f>1222.36</f>
        <v>1222.3599999999999</v>
      </c>
    </row>
    <row r="37" spans="3:19" ht="15.75" x14ac:dyDescent="0.25">
      <c r="C37" s="71" t="s">
        <v>13</v>
      </c>
      <c r="D37" s="72"/>
      <c r="E37" s="6"/>
      <c r="F37" s="3"/>
      <c r="G37" s="12">
        <v>88.68</v>
      </c>
      <c r="H37" s="3"/>
      <c r="I37" s="12">
        <v>335.93</v>
      </c>
      <c r="J37" s="6"/>
      <c r="K37" s="12">
        <v>165.32</v>
      </c>
      <c r="L37" s="12">
        <v>0</v>
      </c>
      <c r="M37" s="11">
        <v>188.37</v>
      </c>
      <c r="N37" s="11"/>
      <c r="O37" s="11">
        <f>95.8</f>
        <v>95.8</v>
      </c>
      <c r="P37" s="18"/>
      <c r="Q37" s="20">
        <f>G37+I37+K37+L37+M37+O37</f>
        <v>874.1</v>
      </c>
      <c r="R37" s="3"/>
      <c r="S37" s="31"/>
    </row>
    <row r="38" spans="3:19" ht="15.75" x14ac:dyDescent="0.25">
      <c r="C38" s="65" t="s">
        <v>21</v>
      </c>
      <c r="D38" s="66"/>
      <c r="E38" s="3"/>
      <c r="F38" s="3"/>
      <c r="G38" s="12">
        <v>88.68</v>
      </c>
      <c r="H38" s="3"/>
      <c r="I38" s="12">
        <v>335.93</v>
      </c>
      <c r="J38" s="3"/>
      <c r="K38" s="12">
        <v>165.32</v>
      </c>
      <c r="L38" s="12">
        <v>0</v>
      </c>
      <c r="M38" s="12">
        <v>158.77000000000001</v>
      </c>
      <c r="N38" s="12"/>
      <c r="O38" s="11">
        <v>95.8</v>
      </c>
      <c r="P38" s="17"/>
      <c r="Q38" s="21">
        <f>G38+I38+K38+L38+M38+O38</f>
        <v>844.5</v>
      </c>
      <c r="R38" s="3"/>
      <c r="S38" s="31"/>
    </row>
    <row r="40" spans="3:19" x14ac:dyDescent="0.25">
      <c r="C40" t="s">
        <v>29</v>
      </c>
      <c r="M40" t="s">
        <v>30</v>
      </c>
      <c r="N40" t="s">
        <v>30</v>
      </c>
    </row>
  </sheetData>
  <mergeCells count="25">
    <mergeCell ref="R12:R13"/>
    <mergeCell ref="S12:S13"/>
    <mergeCell ref="P12:Q13"/>
    <mergeCell ref="B8:R9"/>
    <mergeCell ref="F12:N12"/>
    <mergeCell ref="F13:G13"/>
    <mergeCell ref="H13:I13"/>
    <mergeCell ref="J13:K13"/>
    <mergeCell ref="O12:O13"/>
    <mergeCell ref="C38:D38"/>
    <mergeCell ref="C12:D13"/>
    <mergeCell ref="C19:D19"/>
    <mergeCell ref="C22:D22"/>
    <mergeCell ref="C25:D25"/>
    <mergeCell ref="C32:D32"/>
    <mergeCell ref="C35:D35"/>
    <mergeCell ref="C16:D16"/>
    <mergeCell ref="C18:D18"/>
    <mergeCell ref="C15:D15"/>
    <mergeCell ref="C21:D21"/>
    <mergeCell ref="C24:D24"/>
    <mergeCell ref="C31:D31"/>
    <mergeCell ref="C34:E34"/>
    <mergeCell ref="E12:E13"/>
    <mergeCell ref="C37:D37"/>
  </mergeCells>
  <pageMargins left="0" right="0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B1" zoomScale="110" zoomScaleNormal="110" workbookViewId="0">
      <selection activeCell="X37" sqref="X37"/>
    </sheetView>
  </sheetViews>
  <sheetFormatPr defaultRowHeight="15" x14ac:dyDescent="0.25"/>
  <cols>
    <col min="1" max="1" width="9.140625" style="36" hidden="1" customWidth="1"/>
    <col min="2" max="4" width="9.140625" style="36" customWidth="1"/>
    <col min="5" max="6" width="9.140625" style="36"/>
    <col min="7" max="7" width="10.28515625" style="36" customWidth="1"/>
    <col min="8" max="8" width="0.140625" style="36" customWidth="1"/>
    <col min="9" max="9" width="0.140625" style="36" hidden="1" customWidth="1"/>
    <col min="10" max="10" width="7.85546875" style="36" customWidth="1"/>
    <col min="11" max="11" width="7.28515625" style="36" hidden="1" customWidth="1"/>
    <col min="12" max="12" width="9.140625" style="36"/>
    <col min="13" max="13" width="8" style="36" hidden="1" customWidth="1"/>
    <col min="14" max="16" width="9.140625" style="36"/>
    <col min="17" max="17" width="10.85546875" style="36" hidden="1" customWidth="1"/>
    <col min="18" max="18" width="10.85546875" style="36" customWidth="1"/>
    <col min="19" max="19" width="0" style="36" hidden="1" customWidth="1"/>
    <col min="20" max="20" width="16.42578125" style="36" customWidth="1"/>
    <col min="21" max="23" width="0" style="36" hidden="1" customWidth="1"/>
    <col min="24" max="16384" width="9.140625" style="36"/>
  </cols>
  <sheetData>
    <row r="1" spans="5:24" ht="15.75" x14ac:dyDescent="0.25">
      <c r="P1" s="96" t="s">
        <v>31</v>
      </c>
      <c r="Q1" s="96"/>
      <c r="R1" s="96"/>
      <c r="S1" s="96"/>
      <c r="T1" s="96"/>
    </row>
    <row r="2" spans="5:24" ht="15.75" customHeight="1" x14ac:dyDescent="0.25">
      <c r="L2" s="97" t="s">
        <v>52</v>
      </c>
      <c r="M2" s="97"/>
      <c r="N2" s="97"/>
      <c r="O2" s="97"/>
      <c r="P2" s="97"/>
      <c r="Q2" s="97"/>
      <c r="R2" s="97"/>
      <c r="S2" s="97"/>
      <c r="T2" s="97"/>
    </row>
    <row r="3" spans="5:24" ht="15.75" customHeight="1" x14ac:dyDescent="0.25">
      <c r="L3" s="37"/>
      <c r="M3" s="37"/>
      <c r="N3" s="37"/>
      <c r="O3" s="97" t="s">
        <v>53</v>
      </c>
      <c r="P3" s="97"/>
      <c r="Q3" s="97"/>
      <c r="R3" s="97"/>
      <c r="S3" s="97"/>
      <c r="T3" s="97"/>
    </row>
    <row r="4" spans="5:24" ht="27.75" customHeight="1" x14ac:dyDescent="0.25">
      <c r="E4" s="128" t="s">
        <v>54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5:24" ht="9.75" customHeight="1" x14ac:dyDescent="0.25"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5:24" ht="16.5" customHeight="1" x14ac:dyDescent="0.25">
      <c r="E6" s="38"/>
      <c r="F6" s="38"/>
      <c r="G6" s="38"/>
      <c r="H6" s="38"/>
      <c r="I6" s="38"/>
      <c r="J6" s="130" t="s">
        <v>37</v>
      </c>
      <c r="K6" s="130"/>
      <c r="L6" s="130"/>
      <c r="M6" s="130"/>
      <c r="N6" s="130"/>
      <c r="O6" s="130"/>
      <c r="P6" s="130"/>
      <c r="Q6" s="38"/>
      <c r="R6" s="38"/>
      <c r="S6" s="38"/>
      <c r="T6" s="38"/>
      <c r="U6" s="38"/>
    </row>
    <row r="7" spans="5:24" ht="15.75" x14ac:dyDescent="0.25">
      <c r="F7" s="36" t="s">
        <v>55</v>
      </c>
    </row>
    <row r="8" spans="5:24" ht="10.5" customHeight="1" x14ac:dyDescent="0.25"/>
    <row r="9" spans="5:24" ht="15" customHeight="1" x14ac:dyDescent="0.25">
      <c r="F9" s="105" t="s">
        <v>5</v>
      </c>
      <c r="G9" s="106"/>
      <c r="H9" s="131" t="s">
        <v>58</v>
      </c>
      <c r="I9" s="110" t="s">
        <v>1</v>
      </c>
      <c r="J9" s="110"/>
      <c r="K9" s="110"/>
      <c r="L9" s="110"/>
      <c r="M9" s="110"/>
      <c r="N9" s="110"/>
      <c r="O9" s="110"/>
      <c r="P9" s="110"/>
      <c r="Q9" s="110"/>
      <c r="R9" s="132" t="s">
        <v>34</v>
      </c>
      <c r="S9" s="133" t="s">
        <v>33</v>
      </c>
      <c r="T9" s="134"/>
      <c r="U9" s="137" t="s">
        <v>23</v>
      </c>
      <c r="V9" s="121" t="s">
        <v>24</v>
      </c>
    </row>
    <row r="10" spans="5:24" ht="35.25" customHeight="1" x14ac:dyDescent="0.25">
      <c r="F10" s="107"/>
      <c r="G10" s="108"/>
      <c r="H10" s="131"/>
      <c r="I10" s="123" t="s">
        <v>18</v>
      </c>
      <c r="J10" s="124"/>
      <c r="K10" s="125" t="s">
        <v>19</v>
      </c>
      <c r="L10" s="126"/>
      <c r="M10" s="125" t="s">
        <v>20</v>
      </c>
      <c r="N10" s="126"/>
      <c r="O10" s="41" t="s">
        <v>11</v>
      </c>
      <c r="P10" s="41" t="s">
        <v>8</v>
      </c>
      <c r="Q10" s="41" t="s">
        <v>9</v>
      </c>
      <c r="R10" s="112"/>
      <c r="S10" s="135"/>
      <c r="T10" s="136"/>
      <c r="U10" s="138"/>
      <c r="V10" s="122"/>
    </row>
    <row r="11" spans="5:24" x14ac:dyDescent="0.25">
      <c r="F11" s="42" t="s">
        <v>14</v>
      </c>
      <c r="G11" s="43"/>
      <c r="H11" s="44">
        <f>6.66*5.59*0.5</f>
        <v>18.614699999999999</v>
      </c>
      <c r="I11" s="44">
        <f>3.61*21.95*0.5</f>
        <v>39.619749999999996</v>
      </c>
      <c r="J11" s="45"/>
      <c r="K11" s="45"/>
      <c r="L11" s="46"/>
      <c r="M11" s="45"/>
      <c r="N11" s="46"/>
      <c r="O11" s="46"/>
      <c r="P11" s="45"/>
      <c r="Q11" s="46"/>
      <c r="R11" s="46"/>
      <c r="S11" s="47">
        <f>I11+K11+M11+O11+P11+Q11</f>
        <v>39.619749999999996</v>
      </c>
      <c r="T11" s="47"/>
      <c r="U11" s="48">
        <f>(T12+T13)/2</f>
        <v>844.8</v>
      </c>
      <c r="V11" s="49">
        <f>810.92</f>
        <v>810.92</v>
      </c>
      <c r="X11" s="50"/>
    </row>
    <row r="12" spans="5:24" ht="15.75" x14ac:dyDescent="0.25">
      <c r="F12" s="98" t="s">
        <v>12</v>
      </c>
      <c r="G12" s="103"/>
      <c r="H12" s="44"/>
      <c r="I12" s="44"/>
      <c r="J12" s="46">
        <v>71</v>
      </c>
      <c r="K12" s="45"/>
      <c r="L12" s="46">
        <v>261</v>
      </c>
      <c r="M12" s="45"/>
      <c r="N12" s="46">
        <v>137</v>
      </c>
      <c r="O12" s="46">
        <v>54</v>
      </c>
      <c r="P12" s="46">
        <v>254</v>
      </c>
      <c r="Q12" s="46"/>
      <c r="R12" s="46">
        <v>95.8</v>
      </c>
      <c r="S12" s="47"/>
      <c r="T12" s="51">
        <f>SUM(J12:R12)</f>
        <v>872.8</v>
      </c>
      <c r="U12" s="52"/>
      <c r="V12" s="53"/>
      <c r="W12" s="36">
        <f>66+237+126+50+234+96</f>
        <v>809</v>
      </c>
      <c r="X12" s="50"/>
    </row>
    <row r="13" spans="5:24" ht="15.75" x14ac:dyDescent="0.25">
      <c r="F13" s="98" t="s">
        <v>13</v>
      </c>
      <c r="G13" s="99"/>
      <c r="H13" s="54"/>
      <c r="I13" s="54"/>
      <c r="J13" s="46">
        <v>71</v>
      </c>
      <c r="K13" s="45">
        <v>0</v>
      </c>
      <c r="L13" s="46">
        <v>261</v>
      </c>
      <c r="M13" s="45">
        <v>0</v>
      </c>
      <c r="N13" s="46">
        <v>137</v>
      </c>
      <c r="O13" s="46">
        <v>54</v>
      </c>
      <c r="P13" s="46">
        <v>198</v>
      </c>
      <c r="Q13" s="46"/>
      <c r="R13" s="46">
        <v>95.8</v>
      </c>
      <c r="S13" s="47"/>
      <c r="T13" s="51">
        <f t="shared" ref="T13:T22" si="0">SUM(J13:R13)</f>
        <v>816.8</v>
      </c>
      <c r="U13" s="52"/>
      <c r="V13" s="53"/>
      <c r="W13" s="36">
        <f>66+237+126+50+182+96</f>
        <v>757</v>
      </c>
      <c r="X13" s="50"/>
    </row>
    <row r="14" spans="5:24" ht="15.75" x14ac:dyDescent="0.25">
      <c r="F14" s="42" t="s">
        <v>15</v>
      </c>
      <c r="G14" s="43"/>
      <c r="H14" s="44">
        <f>6.66*5.85*0.5</f>
        <v>19.480499999999999</v>
      </c>
      <c r="I14" s="43">
        <f>3.61*21.95*0.5</f>
        <v>39.619749999999996</v>
      </c>
      <c r="J14" s="46"/>
      <c r="K14" s="45"/>
      <c r="L14" s="46"/>
      <c r="M14" s="45"/>
      <c r="N14" s="46"/>
      <c r="O14" s="46"/>
      <c r="P14" s="46"/>
      <c r="Q14" s="46"/>
      <c r="R14" s="46"/>
      <c r="S14" s="47"/>
      <c r="T14" s="51"/>
      <c r="U14" s="55">
        <f>(T15+T16)/2</f>
        <v>834.8</v>
      </c>
      <c r="V14" s="49">
        <f>841.64</f>
        <v>841.64</v>
      </c>
    </row>
    <row r="15" spans="5:24" ht="15.75" x14ac:dyDescent="0.25">
      <c r="F15" s="98" t="s">
        <v>12</v>
      </c>
      <c r="G15" s="127"/>
      <c r="H15" s="44"/>
      <c r="I15" s="43"/>
      <c r="J15" s="46">
        <v>71</v>
      </c>
      <c r="K15" s="45"/>
      <c r="L15" s="46">
        <v>251</v>
      </c>
      <c r="M15" s="45"/>
      <c r="N15" s="46">
        <v>137</v>
      </c>
      <c r="O15" s="46">
        <v>54</v>
      </c>
      <c r="P15" s="46">
        <v>254</v>
      </c>
      <c r="Q15" s="46"/>
      <c r="R15" s="46">
        <v>95.8</v>
      </c>
      <c r="S15" s="47"/>
      <c r="T15" s="51">
        <f t="shared" si="0"/>
        <v>862.8</v>
      </c>
      <c r="U15" s="52"/>
      <c r="V15" s="53"/>
      <c r="W15" s="36">
        <f>66+228+126+50+234+96</f>
        <v>800</v>
      </c>
    </row>
    <row r="16" spans="5:24" ht="15.75" x14ac:dyDescent="0.25">
      <c r="F16" s="100" t="s">
        <v>13</v>
      </c>
      <c r="G16" s="101"/>
      <c r="H16" s="54"/>
      <c r="I16" s="54"/>
      <c r="J16" s="46">
        <v>71</v>
      </c>
      <c r="K16" s="45">
        <v>0</v>
      </c>
      <c r="L16" s="46">
        <v>251</v>
      </c>
      <c r="M16" s="45">
        <v>0</v>
      </c>
      <c r="N16" s="46">
        <v>137</v>
      </c>
      <c r="O16" s="46">
        <v>54</v>
      </c>
      <c r="P16" s="46">
        <v>198</v>
      </c>
      <c r="Q16" s="46"/>
      <c r="R16" s="46">
        <v>95.8</v>
      </c>
      <c r="S16" s="46"/>
      <c r="T16" s="51">
        <f t="shared" si="0"/>
        <v>806.8</v>
      </c>
      <c r="U16" s="52"/>
      <c r="V16" s="53"/>
      <c r="W16" s="36">
        <f>66+228+126+50+182+96</f>
        <v>748</v>
      </c>
    </row>
    <row r="17" spans="6:23" ht="15.75" x14ac:dyDescent="0.25">
      <c r="F17" s="42" t="s">
        <v>16</v>
      </c>
      <c r="G17" s="43"/>
      <c r="H17" s="44">
        <f>11.12*7.91*1</f>
        <v>87.959199999999996</v>
      </c>
      <c r="I17" s="43">
        <f>4.04*21.95*0.5</f>
        <v>44.338999999999999</v>
      </c>
      <c r="J17" s="46"/>
      <c r="K17" s="45"/>
      <c r="L17" s="46"/>
      <c r="M17" s="45"/>
      <c r="N17" s="46"/>
      <c r="O17" s="46"/>
      <c r="P17" s="46"/>
      <c r="Q17" s="46"/>
      <c r="R17" s="46"/>
      <c r="S17" s="47"/>
      <c r="T17" s="51"/>
      <c r="U17" s="48">
        <f>(T18+T19)/2</f>
        <v>858.8</v>
      </c>
      <c r="V17" s="49">
        <f>(917.9+944.13)/2</f>
        <v>931.01499999999999</v>
      </c>
    </row>
    <row r="18" spans="6:23" ht="15" customHeight="1" x14ac:dyDescent="0.25">
      <c r="F18" s="98" t="s">
        <v>13</v>
      </c>
      <c r="G18" s="127"/>
      <c r="H18" s="44"/>
      <c r="I18" s="43"/>
      <c r="J18" s="46">
        <v>80</v>
      </c>
      <c r="K18" s="45"/>
      <c r="L18" s="46">
        <v>332</v>
      </c>
      <c r="M18" s="45"/>
      <c r="N18" s="46">
        <v>156</v>
      </c>
      <c r="O18" s="46">
        <v>0</v>
      </c>
      <c r="P18" s="46">
        <v>212</v>
      </c>
      <c r="Q18" s="46"/>
      <c r="R18" s="46">
        <v>95.8</v>
      </c>
      <c r="S18" s="47"/>
      <c r="T18" s="51">
        <f t="shared" si="0"/>
        <v>875.8</v>
      </c>
      <c r="U18" s="52"/>
      <c r="V18" s="53"/>
      <c r="W18" s="36">
        <f>73+302+143+194+96</f>
        <v>808</v>
      </c>
    </row>
    <row r="19" spans="6:23" ht="15.75" x14ac:dyDescent="0.25">
      <c r="F19" s="100" t="s">
        <v>21</v>
      </c>
      <c r="G19" s="101"/>
      <c r="H19" s="54"/>
      <c r="I19" s="43"/>
      <c r="J19" s="46">
        <v>80</v>
      </c>
      <c r="K19" s="45">
        <v>0</v>
      </c>
      <c r="L19" s="46">
        <v>332</v>
      </c>
      <c r="M19" s="45">
        <v>0</v>
      </c>
      <c r="N19" s="46">
        <v>156</v>
      </c>
      <c r="O19" s="46">
        <v>0</v>
      </c>
      <c r="P19" s="46">
        <v>178</v>
      </c>
      <c r="Q19" s="46"/>
      <c r="R19" s="46">
        <v>95.8</v>
      </c>
      <c r="S19" s="46"/>
      <c r="T19" s="51">
        <f t="shared" si="0"/>
        <v>841.8</v>
      </c>
      <c r="U19" s="52"/>
      <c r="V19" s="53"/>
      <c r="W19" s="36">
        <f>73+302+143+164+96</f>
        <v>778</v>
      </c>
    </row>
    <row r="20" spans="6:23" ht="15.75" x14ac:dyDescent="0.25">
      <c r="F20" s="42" t="s">
        <v>17</v>
      </c>
      <c r="G20" s="43"/>
      <c r="H20" s="44">
        <f>11.12*7.91*1</f>
        <v>87.959199999999996</v>
      </c>
      <c r="I20" s="43">
        <f>4.04*21.95*0.5</f>
        <v>44.338999999999999</v>
      </c>
      <c r="J20" s="46"/>
      <c r="K20" s="45"/>
      <c r="L20" s="46"/>
      <c r="M20" s="45"/>
      <c r="N20" s="46"/>
      <c r="O20" s="46"/>
      <c r="P20" s="46"/>
      <c r="Q20" s="46"/>
      <c r="R20" s="46"/>
      <c r="S20" s="47"/>
      <c r="T20" s="51"/>
      <c r="U20" s="48">
        <f>(T21+T22)/2</f>
        <v>845.8</v>
      </c>
      <c r="V20" s="49">
        <f>1091.27</f>
        <v>1091.27</v>
      </c>
    </row>
    <row r="21" spans="6:23" ht="15" customHeight="1" x14ac:dyDescent="0.25">
      <c r="F21" s="98" t="s">
        <v>13</v>
      </c>
      <c r="G21" s="127"/>
      <c r="H21" s="44"/>
      <c r="I21" s="43"/>
      <c r="J21" s="46">
        <v>80</v>
      </c>
      <c r="K21" s="45"/>
      <c r="L21" s="46">
        <v>319</v>
      </c>
      <c r="M21" s="45"/>
      <c r="N21" s="46">
        <v>156</v>
      </c>
      <c r="O21" s="46">
        <v>0</v>
      </c>
      <c r="P21" s="46">
        <v>212</v>
      </c>
      <c r="Q21" s="46"/>
      <c r="R21" s="46">
        <v>95.8</v>
      </c>
      <c r="S21" s="47"/>
      <c r="T21" s="51">
        <f t="shared" si="0"/>
        <v>862.8</v>
      </c>
      <c r="U21" s="52"/>
      <c r="V21" s="53"/>
      <c r="W21" s="36">
        <f>73+290+143+194+96</f>
        <v>796</v>
      </c>
    </row>
    <row r="22" spans="6:23" ht="15.75" x14ac:dyDescent="0.25">
      <c r="F22" s="100" t="s">
        <v>21</v>
      </c>
      <c r="G22" s="101"/>
      <c r="H22" s="54"/>
      <c r="I22" s="43"/>
      <c r="J22" s="46">
        <v>80</v>
      </c>
      <c r="K22" s="45">
        <v>0</v>
      </c>
      <c r="L22" s="46">
        <v>319</v>
      </c>
      <c r="M22" s="45">
        <v>0</v>
      </c>
      <c r="N22" s="46">
        <v>156</v>
      </c>
      <c r="O22" s="46">
        <v>0</v>
      </c>
      <c r="P22" s="46">
        <v>178</v>
      </c>
      <c r="Q22" s="46"/>
      <c r="R22" s="46">
        <v>95.8</v>
      </c>
      <c r="S22" s="46"/>
      <c r="T22" s="51">
        <f t="shared" si="0"/>
        <v>828.8</v>
      </c>
      <c r="U22" s="52"/>
      <c r="V22" s="53"/>
      <c r="W22" s="36">
        <f>73+290+143+164+96</f>
        <v>766</v>
      </c>
    </row>
    <row r="23" spans="6:23" ht="8.25" customHeight="1" x14ac:dyDescent="0.25"/>
    <row r="24" spans="6:23" ht="27" customHeight="1" x14ac:dyDescent="0.25">
      <c r="F24" s="95" t="s">
        <v>57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6:23" ht="15.75" x14ac:dyDescent="0.25">
      <c r="F25" s="105" t="s">
        <v>5</v>
      </c>
      <c r="G25" s="106"/>
      <c r="H25" s="109" t="s">
        <v>56</v>
      </c>
      <c r="I25" s="110" t="s">
        <v>1</v>
      </c>
      <c r="J25" s="110"/>
      <c r="K25" s="110"/>
      <c r="L25" s="110"/>
      <c r="M25" s="110"/>
      <c r="N25" s="110"/>
      <c r="O25" s="110"/>
      <c r="P25" s="110"/>
      <c r="Q25" s="110"/>
      <c r="R25" s="111" t="s">
        <v>34</v>
      </c>
      <c r="S25" s="113" t="s">
        <v>33</v>
      </c>
      <c r="T25" s="114"/>
    </row>
    <row r="26" spans="6:23" ht="38.25" customHeight="1" x14ac:dyDescent="0.25">
      <c r="F26" s="107"/>
      <c r="G26" s="108"/>
      <c r="H26" s="109"/>
      <c r="I26" s="117" t="s">
        <v>38</v>
      </c>
      <c r="J26" s="118"/>
      <c r="K26" s="119" t="s">
        <v>39</v>
      </c>
      <c r="L26" s="120"/>
      <c r="M26" s="119" t="s">
        <v>40</v>
      </c>
      <c r="N26" s="120"/>
      <c r="O26" s="39" t="s">
        <v>41</v>
      </c>
      <c r="P26" s="40" t="s">
        <v>8</v>
      </c>
      <c r="Q26" s="41" t="s">
        <v>9</v>
      </c>
      <c r="R26" s="112"/>
      <c r="S26" s="115"/>
      <c r="T26" s="116"/>
    </row>
    <row r="27" spans="6:23" hidden="1" x14ac:dyDescent="0.25">
      <c r="I27" s="36">
        <v>1</v>
      </c>
      <c r="J27" s="36">
        <v>1</v>
      </c>
      <c r="K27" s="36">
        <v>1</v>
      </c>
      <c r="L27" s="56">
        <v>1</v>
      </c>
      <c r="M27" s="36">
        <v>1</v>
      </c>
      <c r="N27" s="56">
        <v>1</v>
      </c>
      <c r="O27" s="56">
        <v>1</v>
      </c>
      <c r="P27" s="56">
        <v>0.9</v>
      </c>
      <c r="Q27" s="56">
        <v>0.5</v>
      </c>
      <c r="R27" s="56"/>
      <c r="T27" s="56"/>
    </row>
    <row r="28" spans="6:23" ht="15.75" x14ac:dyDescent="0.25">
      <c r="F28" s="42" t="s">
        <v>47</v>
      </c>
      <c r="G28" s="43"/>
      <c r="H28" s="43">
        <v>19.48</v>
      </c>
      <c r="I28" s="43">
        <f>3.61*21.95*1</f>
        <v>79.239499999999992</v>
      </c>
      <c r="J28" s="52"/>
      <c r="K28" s="43">
        <f>2.43*108.42*1</f>
        <v>263.4606</v>
      </c>
      <c r="L28" s="52"/>
      <c r="M28" s="44">
        <f>6.04*23.96*1</f>
        <v>144.7184</v>
      </c>
      <c r="N28" s="52"/>
      <c r="O28" s="57"/>
      <c r="P28" s="57"/>
      <c r="Q28" s="57"/>
      <c r="R28" s="57"/>
      <c r="S28" s="48">
        <f>H28+I28+K28+M28+O28+P28+Q28</f>
        <v>506.89850000000001</v>
      </c>
      <c r="T28" s="58"/>
      <c r="U28" s="59">
        <f>(T29+T30)/2</f>
        <v>1015.8</v>
      </c>
      <c r="V28" s="60">
        <f>1002.71</f>
        <v>1002.71</v>
      </c>
    </row>
    <row r="29" spans="6:23" ht="15" customHeight="1" x14ac:dyDescent="0.25">
      <c r="F29" s="98" t="s">
        <v>12</v>
      </c>
      <c r="G29" s="103"/>
      <c r="H29" s="43"/>
      <c r="I29" s="43"/>
      <c r="J29" s="61">
        <v>89</v>
      </c>
      <c r="K29" s="62"/>
      <c r="L29" s="61">
        <v>326</v>
      </c>
      <c r="M29" s="62"/>
      <c r="N29" s="61">
        <v>171</v>
      </c>
      <c r="O29" s="61">
        <v>108</v>
      </c>
      <c r="P29" s="61">
        <v>254</v>
      </c>
      <c r="Q29" s="61"/>
      <c r="R29" s="61">
        <v>95.8</v>
      </c>
      <c r="S29" s="63"/>
      <c r="T29" s="51">
        <f t="shared" ref="T29:T39" si="1">SUM(J29:R29)</f>
        <v>1043.8</v>
      </c>
      <c r="U29" s="43"/>
      <c r="V29" s="64"/>
      <c r="W29" s="36">
        <f>82+297+157+99+234+96</f>
        <v>965</v>
      </c>
    </row>
    <row r="30" spans="6:23" ht="15.75" x14ac:dyDescent="0.25">
      <c r="F30" s="100" t="s">
        <v>13</v>
      </c>
      <c r="G30" s="101"/>
      <c r="H30" s="43"/>
      <c r="I30" s="43"/>
      <c r="J30" s="61">
        <v>89</v>
      </c>
      <c r="K30" s="62"/>
      <c r="L30" s="61">
        <v>326</v>
      </c>
      <c r="M30" s="62"/>
      <c r="N30" s="61">
        <v>171</v>
      </c>
      <c r="O30" s="61">
        <v>108</v>
      </c>
      <c r="P30" s="61">
        <v>198</v>
      </c>
      <c r="Q30" s="61"/>
      <c r="R30" s="61">
        <v>95.8</v>
      </c>
      <c r="S30" s="63"/>
      <c r="T30" s="51">
        <f t="shared" si="1"/>
        <v>987.8</v>
      </c>
      <c r="U30" s="43"/>
      <c r="V30" s="64"/>
      <c r="W30" s="36">
        <f>82+297+157+99+182+96</f>
        <v>913</v>
      </c>
    </row>
    <row r="31" spans="6:23" ht="15.75" x14ac:dyDescent="0.25">
      <c r="F31" s="42" t="s">
        <v>2</v>
      </c>
      <c r="G31" s="43"/>
      <c r="H31" s="43">
        <v>19.48</v>
      </c>
      <c r="I31" s="43">
        <f>3.61*21.95*1</f>
        <v>79.239499999999992</v>
      </c>
      <c r="J31" s="52"/>
      <c r="K31" s="43">
        <v>263.4606</v>
      </c>
      <c r="L31" s="52"/>
      <c r="M31" s="44">
        <v>144.7184</v>
      </c>
      <c r="N31" s="52"/>
      <c r="O31" s="57"/>
      <c r="P31" s="57"/>
      <c r="Q31" s="57"/>
      <c r="R31" s="57"/>
      <c r="S31" s="48">
        <v>506.89850000000001</v>
      </c>
      <c r="T31" s="51"/>
      <c r="U31" s="59">
        <f>(T32+T33)/2</f>
        <v>1002.8</v>
      </c>
      <c r="V31" s="60">
        <f>1002.71</f>
        <v>1002.71</v>
      </c>
    </row>
    <row r="32" spans="6:23" ht="15" customHeight="1" x14ac:dyDescent="0.25">
      <c r="F32" s="98" t="s">
        <v>12</v>
      </c>
      <c r="G32" s="103"/>
      <c r="H32" s="43"/>
      <c r="I32" s="43"/>
      <c r="J32" s="61">
        <v>89</v>
      </c>
      <c r="K32" s="62"/>
      <c r="L32" s="61">
        <v>313</v>
      </c>
      <c r="M32" s="62"/>
      <c r="N32" s="61">
        <v>171</v>
      </c>
      <c r="O32" s="61">
        <v>108</v>
      </c>
      <c r="P32" s="61">
        <v>254</v>
      </c>
      <c r="Q32" s="61"/>
      <c r="R32" s="61">
        <v>95.8</v>
      </c>
      <c r="S32" s="63"/>
      <c r="T32" s="51">
        <f t="shared" si="1"/>
        <v>1030.8</v>
      </c>
      <c r="U32" s="43"/>
      <c r="V32" s="64"/>
      <c r="W32" s="36">
        <f>82+285+157+99+234+96</f>
        <v>953</v>
      </c>
    </row>
    <row r="33" spans="6:23" ht="15.75" x14ac:dyDescent="0.25">
      <c r="F33" s="100" t="s">
        <v>13</v>
      </c>
      <c r="G33" s="101"/>
      <c r="H33" s="43"/>
      <c r="I33" s="43"/>
      <c r="J33" s="61">
        <v>89</v>
      </c>
      <c r="K33" s="62"/>
      <c r="L33" s="61">
        <v>313</v>
      </c>
      <c r="M33" s="62"/>
      <c r="N33" s="61">
        <v>171</v>
      </c>
      <c r="O33" s="61">
        <v>108</v>
      </c>
      <c r="P33" s="61">
        <v>198</v>
      </c>
      <c r="Q33" s="61"/>
      <c r="R33" s="61">
        <v>95.8</v>
      </c>
      <c r="S33" s="63"/>
      <c r="T33" s="51">
        <f t="shared" si="1"/>
        <v>974.8</v>
      </c>
      <c r="U33" s="43"/>
      <c r="V33" s="64"/>
      <c r="W33" s="36">
        <f>82+285+157+99+182+96</f>
        <v>901</v>
      </c>
    </row>
    <row r="34" spans="6:23" ht="15.75" x14ac:dyDescent="0.25">
      <c r="F34" s="42" t="s">
        <v>3</v>
      </c>
      <c r="G34" s="43"/>
      <c r="H34" s="44">
        <f>11.12*7.91*1</f>
        <v>87.959199999999996</v>
      </c>
      <c r="I34" s="43">
        <f>4.04*21.95*1</f>
        <v>88.677999999999997</v>
      </c>
      <c r="J34" s="61"/>
      <c r="K34" s="62"/>
      <c r="L34" s="61"/>
      <c r="M34" s="62"/>
      <c r="N34" s="61"/>
      <c r="O34" s="61"/>
      <c r="P34" s="61"/>
      <c r="Q34" s="61"/>
      <c r="R34" s="61"/>
      <c r="S34" s="63"/>
      <c r="T34" s="51"/>
      <c r="U34" s="59">
        <f>(T35+T36)/2</f>
        <v>1000.8</v>
      </c>
      <c r="V34" s="60">
        <f>(1058.44+1080.04)/2</f>
        <v>1069.24</v>
      </c>
    </row>
    <row r="35" spans="6:23" ht="15" customHeight="1" x14ac:dyDescent="0.25">
      <c r="F35" s="98" t="s">
        <v>13</v>
      </c>
      <c r="G35" s="104"/>
      <c r="H35" s="103"/>
      <c r="I35" s="43"/>
      <c r="J35" s="61">
        <v>100</v>
      </c>
      <c r="K35" s="62"/>
      <c r="L35" s="61">
        <v>415</v>
      </c>
      <c r="M35" s="62"/>
      <c r="N35" s="61">
        <v>195</v>
      </c>
      <c r="O35" s="61">
        <v>0</v>
      </c>
      <c r="P35" s="61">
        <v>212</v>
      </c>
      <c r="Q35" s="61"/>
      <c r="R35" s="61">
        <v>95.8</v>
      </c>
      <c r="S35" s="63"/>
      <c r="T35" s="51">
        <f t="shared" si="1"/>
        <v>1017.8</v>
      </c>
      <c r="U35" s="43"/>
      <c r="V35" s="64"/>
      <c r="W35" s="36">
        <f>92+377+179+194+96</f>
        <v>938</v>
      </c>
    </row>
    <row r="36" spans="6:23" ht="15.75" x14ac:dyDescent="0.25">
      <c r="F36" s="100" t="s">
        <v>21</v>
      </c>
      <c r="G36" s="101"/>
      <c r="H36" s="43"/>
      <c r="I36" s="43"/>
      <c r="J36" s="61">
        <v>100</v>
      </c>
      <c r="K36" s="62"/>
      <c r="L36" s="61">
        <v>415</v>
      </c>
      <c r="M36" s="62"/>
      <c r="N36" s="61">
        <v>195</v>
      </c>
      <c r="O36" s="61">
        <v>0</v>
      </c>
      <c r="P36" s="61">
        <v>178</v>
      </c>
      <c r="Q36" s="61"/>
      <c r="R36" s="61">
        <v>95.8</v>
      </c>
      <c r="S36" s="63"/>
      <c r="T36" s="51">
        <f t="shared" si="1"/>
        <v>983.8</v>
      </c>
      <c r="U36" s="43"/>
      <c r="V36" s="64"/>
      <c r="W36" s="36">
        <f>92+377+179+164+96</f>
        <v>908</v>
      </c>
    </row>
    <row r="37" spans="6:23" ht="15.75" x14ac:dyDescent="0.25">
      <c r="F37" s="42" t="s">
        <v>4</v>
      </c>
      <c r="G37" s="43"/>
      <c r="H37" s="44">
        <f>11.12*7.91*1</f>
        <v>87.959199999999996</v>
      </c>
      <c r="I37" s="43">
        <f>4.04*21.95*1</f>
        <v>88.677999999999997</v>
      </c>
      <c r="J37" s="61"/>
      <c r="K37" s="62"/>
      <c r="L37" s="61"/>
      <c r="M37" s="62"/>
      <c r="N37" s="61"/>
      <c r="O37" s="61"/>
      <c r="P37" s="61"/>
      <c r="Q37" s="61"/>
      <c r="R37" s="61"/>
      <c r="S37" s="63"/>
      <c r="T37" s="51"/>
      <c r="U37" s="59">
        <f>(T38+T39)/2</f>
        <v>984.8</v>
      </c>
      <c r="V37" s="60">
        <f>1222.36</f>
        <v>1222.3599999999999</v>
      </c>
    </row>
    <row r="38" spans="6:23" ht="15.75" x14ac:dyDescent="0.25">
      <c r="F38" s="98" t="s">
        <v>13</v>
      </c>
      <c r="G38" s="99"/>
      <c r="H38" s="44"/>
      <c r="I38" s="43"/>
      <c r="J38" s="61">
        <v>100</v>
      </c>
      <c r="K38" s="62"/>
      <c r="L38" s="61">
        <v>399</v>
      </c>
      <c r="M38" s="62"/>
      <c r="N38" s="61">
        <v>195</v>
      </c>
      <c r="O38" s="61">
        <v>0</v>
      </c>
      <c r="P38" s="61">
        <v>212</v>
      </c>
      <c r="Q38" s="61"/>
      <c r="R38" s="61">
        <v>95.8</v>
      </c>
      <c r="S38" s="63"/>
      <c r="T38" s="51">
        <f t="shared" si="1"/>
        <v>1001.8</v>
      </c>
      <c r="U38" s="43"/>
      <c r="V38" s="64"/>
      <c r="W38" s="36">
        <f>92+363+179+194+96</f>
        <v>924</v>
      </c>
    </row>
    <row r="39" spans="6:23" ht="15.75" x14ac:dyDescent="0.25">
      <c r="F39" s="100" t="s">
        <v>21</v>
      </c>
      <c r="G39" s="101"/>
      <c r="H39" s="43"/>
      <c r="I39" s="43"/>
      <c r="J39" s="61">
        <v>100</v>
      </c>
      <c r="K39" s="62"/>
      <c r="L39" s="61">
        <v>399</v>
      </c>
      <c r="M39" s="62"/>
      <c r="N39" s="61">
        <v>195</v>
      </c>
      <c r="O39" s="61">
        <v>0</v>
      </c>
      <c r="P39" s="61">
        <v>178</v>
      </c>
      <c r="Q39" s="61"/>
      <c r="R39" s="61">
        <v>95.8</v>
      </c>
      <c r="S39" s="63"/>
      <c r="T39" s="51">
        <f t="shared" si="1"/>
        <v>967.8</v>
      </c>
      <c r="U39" s="43"/>
      <c r="V39" s="64"/>
      <c r="W39" s="36">
        <f>92+363+179+164+96</f>
        <v>894</v>
      </c>
    </row>
    <row r="40" spans="6:23" ht="30.75" customHeight="1" x14ac:dyDescent="0.25">
      <c r="F40" s="102" t="s">
        <v>45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6:23" x14ac:dyDescent="0.25">
      <c r="F41" s="36" t="s">
        <v>50</v>
      </c>
      <c r="P41" s="36" t="s">
        <v>49</v>
      </c>
      <c r="Q41" s="36" t="s">
        <v>30</v>
      </c>
    </row>
    <row r="43" spans="6:23" x14ac:dyDescent="0.25">
      <c r="F43" s="36" t="s">
        <v>43</v>
      </c>
      <c r="P43" s="36" t="s">
        <v>51</v>
      </c>
    </row>
  </sheetData>
  <mergeCells count="41">
    <mergeCell ref="F16:G16"/>
    <mergeCell ref="F18:G18"/>
    <mergeCell ref="F19:G19"/>
    <mergeCell ref="F21:G21"/>
    <mergeCell ref="E4:U5"/>
    <mergeCell ref="J6:P6"/>
    <mergeCell ref="F9:G10"/>
    <mergeCell ref="H9:H10"/>
    <mergeCell ref="I9:Q9"/>
    <mergeCell ref="R9:R10"/>
    <mergeCell ref="S9:T10"/>
    <mergeCell ref="U9:U10"/>
    <mergeCell ref="V9:V10"/>
    <mergeCell ref="I10:J10"/>
    <mergeCell ref="K10:L10"/>
    <mergeCell ref="M10:N10"/>
    <mergeCell ref="F12:G12"/>
    <mergeCell ref="F39:G39"/>
    <mergeCell ref="F40:T40"/>
    <mergeCell ref="F29:G29"/>
    <mergeCell ref="F30:G30"/>
    <mergeCell ref="F32:G32"/>
    <mergeCell ref="F33:G33"/>
    <mergeCell ref="F35:H35"/>
    <mergeCell ref="F36:G36"/>
    <mergeCell ref="F24:T24"/>
    <mergeCell ref="P1:T1"/>
    <mergeCell ref="L2:T2"/>
    <mergeCell ref="O3:T3"/>
    <mergeCell ref="F38:G38"/>
    <mergeCell ref="F25:G26"/>
    <mergeCell ref="H25:H26"/>
    <mergeCell ref="I25:Q25"/>
    <mergeCell ref="R25:R26"/>
    <mergeCell ref="S25:T26"/>
    <mergeCell ref="I26:J26"/>
    <mergeCell ref="K26:L26"/>
    <mergeCell ref="M26:N26"/>
    <mergeCell ref="F22:G22"/>
    <mergeCell ref="F13:G13"/>
    <mergeCell ref="F15:G15"/>
  </mergeCells>
  <pageMargins left="0" right="0" top="0.19685039370078741" bottom="0.19685039370078741" header="0.31496062992125984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B1" zoomScale="110" zoomScaleNormal="110" workbookViewId="0">
      <selection activeCell="G33" sqref="G33:M43"/>
    </sheetView>
  </sheetViews>
  <sheetFormatPr defaultRowHeight="15" x14ac:dyDescent="0.25"/>
  <cols>
    <col min="1" max="1" width="9.140625" hidden="1" customWidth="1"/>
    <col min="4" max="4" width="10.28515625" customWidth="1"/>
    <col min="5" max="5" width="0.140625" customWidth="1"/>
    <col min="6" max="6" width="0.140625" hidden="1" customWidth="1"/>
    <col min="7" max="7" width="7.85546875" customWidth="1"/>
    <col min="8" max="8" width="7.28515625" hidden="1" customWidth="1"/>
    <col min="10" max="10" width="8" hidden="1" customWidth="1"/>
    <col min="14" max="14" width="10.85546875" hidden="1" customWidth="1"/>
    <col min="15" max="15" width="10.85546875" customWidth="1"/>
    <col min="16" max="16" width="0" hidden="1" customWidth="1"/>
    <col min="17" max="17" width="16.42578125" customWidth="1"/>
    <col min="18" max="19" width="0" hidden="1" customWidth="1"/>
  </cols>
  <sheetData>
    <row r="1" spans="2:21" x14ac:dyDescent="0.25">
      <c r="M1" s="32" t="s">
        <v>44</v>
      </c>
      <c r="N1" t="s">
        <v>25</v>
      </c>
    </row>
    <row r="2" spans="2:21" hidden="1" x14ac:dyDescent="0.25">
      <c r="M2" s="33" t="s">
        <v>25</v>
      </c>
    </row>
    <row r="3" spans="2:21" hidden="1" x14ac:dyDescent="0.25">
      <c r="M3" t="s">
        <v>35</v>
      </c>
    </row>
    <row r="4" spans="2:21" hidden="1" x14ac:dyDescent="0.25">
      <c r="M4" t="s">
        <v>27</v>
      </c>
    </row>
    <row r="5" spans="2:21" hidden="1" x14ac:dyDescent="0.25">
      <c r="M5" t="s">
        <v>36</v>
      </c>
    </row>
    <row r="6" spans="2:21" ht="15.7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21" ht="27.75" customHeight="1" x14ac:dyDescent="0.25">
      <c r="B7" s="86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2:21" ht="9.75" customHeight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2:21" ht="16.5" customHeight="1" x14ac:dyDescent="0.25">
      <c r="B9" s="34"/>
      <c r="C9" s="34"/>
      <c r="D9" s="34"/>
      <c r="E9" s="34"/>
      <c r="F9" s="34"/>
      <c r="G9" s="139" t="s">
        <v>37</v>
      </c>
      <c r="H9" s="139"/>
      <c r="I9" s="139"/>
      <c r="J9" s="139"/>
      <c r="K9" s="139"/>
      <c r="L9" s="139"/>
      <c r="M9" s="139"/>
      <c r="N9" s="34"/>
      <c r="O9" s="34"/>
      <c r="P9" s="34"/>
      <c r="Q9" s="34"/>
      <c r="R9" s="34"/>
    </row>
    <row r="10" spans="2:21" ht="15.75" x14ac:dyDescent="0.25">
      <c r="C10" t="s">
        <v>6</v>
      </c>
    </row>
    <row r="11" spans="2:21" ht="10.5" customHeight="1" x14ac:dyDescent="0.25"/>
    <row r="12" spans="2:21" ht="15" customHeight="1" x14ac:dyDescent="0.25">
      <c r="C12" s="67" t="s">
        <v>5</v>
      </c>
      <c r="D12" s="68"/>
      <c r="E12" s="77" t="s">
        <v>10</v>
      </c>
      <c r="F12" s="88" t="s">
        <v>1</v>
      </c>
      <c r="G12" s="88"/>
      <c r="H12" s="88"/>
      <c r="I12" s="88"/>
      <c r="J12" s="88"/>
      <c r="K12" s="88"/>
      <c r="L12" s="88"/>
      <c r="M12" s="88"/>
      <c r="N12" s="88"/>
      <c r="O12" s="93" t="s">
        <v>34</v>
      </c>
      <c r="P12" s="82" t="s">
        <v>33</v>
      </c>
      <c r="Q12" s="83"/>
      <c r="R12" s="78" t="s">
        <v>23</v>
      </c>
      <c r="S12" s="80" t="s">
        <v>24</v>
      </c>
    </row>
    <row r="13" spans="2:21" ht="35.25" customHeight="1" x14ac:dyDescent="0.25">
      <c r="C13" s="69"/>
      <c r="D13" s="70"/>
      <c r="E13" s="77"/>
      <c r="F13" s="89" t="s">
        <v>18</v>
      </c>
      <c r="G13" s="90"/>
      <c r="H13" s="91" t="s">
        <v>19</v>
      </c>
      <c r="I13" s="92"/>
      <c r="J13" s="91" t="s">
        <v>20</v>
      </c>
      <c r="K13" s="92"/>
      <c r="L13" s="23" t="s">
        <v>11</v>
      </c>
      <c r="M13" s="24" t="s">
        <v>8</v>
      </c>
      <c r="N13" s="25" t="s">
        <v>9</v>
      </c>
      <c r="O13" s="94"/>
      <c r="P13" s="84"/>
      <c r="Q13" s="85"/>
      <c r="R13" s="79"/>
      <c r="S13" s="81"/>
    </row>
    <row r="14" spans="2:21" x14ac:dyDescent="0.25">
      <c r="C14" s="4" t="s">
        <v>14</v>
      </c>
      <c r="D14" s="3"/>
      <c r="E14" s="9">
        <f>6.66*5.59*0.5</f>
        <v>18.614699999999999</v>
      </c>
      <c r="F14" s="6">
        <f>3.61*21.95*0.5</f>
        <v>39.619749999999996</v>
      </c>
      <c r="G14" s="6"/>
      <c r="H14" s="3"/>
      <c r="I14" s="11"/>
      <c r="J14" s="6"/>
      <c r="K14" s="11"/>
      <c r="L14" s="13"/>
      <c r="M14" s="6"/>
      <c r="N14" s="11"/>
      <c r="O14" s="11"/>
      <c r="P14" s="15">
        <f>F14+H14+J14+L14+M14+N14</f>
        <v>39.619749999999996</v>
      </c>
      <c r="Q14" s="14"/>
      <c r="R14" s="14">
        <f>(Q15+Q16)/2</f>
        <v>781.56999999999994</v>
      </c>
      <c r="S14" s="28">
        <f>810.92</f>
        <v>810.92</v>
      </c>
      <c r="U14" s="2"/>
    </row>
    <row r="15" spans="2:21" ht="15.75" x14ac:dyDescent="0.25">
      <c r="C15" s="71" t="s">
        <v>12</v>
      </c>
      <c r="D15" s="74"/>
      <c r="E15" s="9"/>
      <c r="F15" s="6"/>
      <c r="G15" s="11">
        <v>65.53</v>
      </c>
      <c r="H15" s="3"/>
      <c r="I15" s="11">
        <v>237.22</v>
      </c>
      <c r="J15" s="6"/>
      <c r="K15" s="11">
        <v>125.58</v>
      </c>
      <c r="L15" s="13">
        <v>49.54</v>
      </c>
      <c r="M15" s="11">
        <v>233.64</v>
      </c>
      <c r="N15" s="11"/>
      <c r="O15" s="11">
        <v>95.8</v>
      </c>
      <c r="P15" s="15"/>
      <c r="Q15" s="20">
        <f>G15+I15+K15+L15+M15+O15</f>
        <v>807.31</v>
      </c>
      <c r="R15" s="12"/>
      <c r="S15" s="29"/>
      <c r="U15" s="2"/>
    </row>
    <row r="16" spans="2:21" ht="15.75" x14ac:dyDescent="0.25">
      <c r="C16" s="71" t="s">
        <v>13</v>
      </c>
      <c r="D16" s="72"/>
      <c r="E16" s="5"/>
      <c r="F16" s="5"/>
      <c r="G16" s="11">
        <f>G15</f>
        <v>65.53</v>
      </c>
      <c r="H16" s="11">
        <f t="shared" ref="H16:L16" si="0">H15</f>
        <v>0</v>
      </c>
      <c r="I16" s="11">
        <f t="shared" si="0"/>
        <v>237.22</v>
      </c>
      <c r="J16" s="11">
        <f t="shared" si="0"/>
        <v>0</v>
      </c>
      <c r="K16" s="11">
        <f t="shared" si="0"/>
        <v>125.58</v>
      </c>
      <c r="L16" s="11">
        <f t="shared" si="0"/>
        <v>49.54</v>
      </c>
      <c r="M16" s="11">
        <v>182.16</v>
      </c>
      <c r="N16" s="12"/>
      <c r="O16" s="11">
        <v>95.8</v>
      </c>
      <c r="P16" s="15"/>
      <c r="Q16" s="20">
        <f>G16+I16+K16+L16+M16+O16</f>
        <v>755.82999999999993</v>
      </c>
      <c r="R16" s="12"/>
      <c r="S16" s="29"/>
      <c r="U16" s="2"/>
    </row>
    <row r="17" spans="3:19" ht="15.75" x14ac:dyDescent="0.25">
      <c r="C17" s="4" t="s">
        <v>15</v>
      </c>
      <c r="D17" s="3"/>
      <c r="E17" s="6">
        <f>6.66*5.85*0.5</f>
        <v>19.480499999999999</v>
      </c>
      <c r="F17" s="3">
        <f>3.61*21.95*0.5</f>
        <v>39.619749999999996</v>
      </c>
      <c r="G17" s="11"/>
      <c r="H17" s="3"/>
      <c r="I17" s="11"/>
      <c r="J17" s="6"/>
      <c r="K17" s="11"/>
      <c r="L17" s="11"/>
      <c r="M17" s="11"/>
      <c r="N17" s="11"/>
      <c r="O17" s="11"/>
      <c r="P17" s="15"/>
      <c r="Q17" s="20"/>
      <c r="R17" s="27">
        <f>(Q18+Q19)/2</f>
        <v>772.07999999999993</v>
      </c>
      <c r="S17" s="28">
        <f>841.64</f>
        <v>841.64</v>
      </c>
    </row>
    <row r="18" spans="3:19" ht="15.75" x14ac:dyDescent="0.25">
      <c r="C18" s="71" t="s">
        <v>12</v>
      </c>
      <c r="D18" s="73"/>
      <c r="E18" s="6"/>
      <c r="F18" s="3"/>
      <c r="G18" s="11">
        <v>65.53</v>
      </c>
      <c r="H18" s="3"/>
      <c r="I18" s="11">
        <v>227.73</v>
      </c>
      <c r="J18" s="6"/>
      <c r="K18" s="11">
        <v>125.58</v>
      </c>
      <c r="L18" s="11">
        <v>49.54</v>
      </c>
      <c r="M18" s="11">
        <v>233.64</v>
      </c>
      <c r="N18" s="11"/>
      <c r="O18" s="11">
        <v>95.8</v>
      </c>
      <c r="P18" s="15"/>
      <c r="Q18" s="20">
        <f>G18+I18+K18+L18+M18+O18</f>
        <v>797.81999999999994</v>
      </c>
      <c r="R18" s="12"/>
      <c r="S18" s="29"/>
    </row>
    <row r="19" spans="3:19" ht="15.75" x14ac:dyDescent="0.25">
      <c r="C19" s="65" t="s">
        <v>13</v>
      </c>
      <c r="D19" s="66"/>
      <c r="E19" s="5"/>
      <c r="F19" s="5"/>
      <c r="G19" s="11">
        <f>G18</f>
        <v>65.53</v>
      </c>
      <c r="H19" s="11">
        <f t="shared" ref="H19:L19" si="1">H18</f>
        <v>0</v>
      </c>
      <c r="I19" s="11">
        <f t="shared" si="1"/>
        <v>227.73</v>
      </c>
      <c r="J19" s="11">
        <f t="shared" si="1"/>
        <v>0</v>
      </c>
      <c r="K19" s="11">
        <f t="shared" si="1"/>
        <v>125.58</v>
      </c>
      <c r="L19" s="11">
        <f t="shared" si="1"/>
        <v>49.54</v>
      </c>
      <c r="M19" s="12">
        <v>182.16</v>
      </c>
      <c r="N19" s="12"/>
      <c r="O19" s="11">
        <v>95.8</v>
      </c>
      <c r="P19" s="16"/>
      <c r="Q19" s="20">
        <f>G19+I19+K19+L19+M19+O19</f>
        <v>746.33999999999992</v>
      </c>
      <c r="R19" s="12"/>
      <c r="S19" s="29"/>
    </row>
    <row r="20" spans="3:19" ht="15.75" x14ac:dyDescent="0.25">
      <c r="C20" s="4" t="s">
        <v>16</v>
      </c>
      <c r="D20" s="3"/>
      <c r="E20" s="6">
        <f>11.12*7.91*1</f>
        <v>87.959199999999996</v>
      </c>
      <c r="F20" s="3">
        <f>4.04*21.95*0.5</f>
        <v>44.338999999999999</v>
      </c>
      <c r="G20" s="11"/>
      <c r="H20" s="3"/>
      <c r="I20" s="11"/>
      <c r="J20" s="10"/>
      <c r="K20" s="11"/>
      <c r="L20" s="12"/>
      <c r="M20" s="11"/>
      <c r="N20" s="11"/>
      <c r="O20" s="11"/>
      <c r="P20" s="15"/>
      <c r="Q20" s="20"/>
      <c r="R20" s="14">
        <f>(Q21+Q22)/2</f>
        <v>792.92499999999995</v>
      </c>
      <c r="S20" s="28">
        <f>(917.9+944.13)/2</f>
        <v>931.01499999999999</v>
      </c>
    </row>
    <row r="21" spans="3:19" ht="15" customHeight="1" x14ac:dyDescent="0.25">
      <c r="C21" s="71" t="s">
        <v>13</v>
      </c>
      <c r="D21" s="73"/>
      <c r="E21" s="6"/>
      <c r="F21" s="3"/>
      <c r="G21" s="11">
        <v>73.33</v>
      </c>
      <c r="H21" s="3"/>
      <c r="I21" s="11">
        <v>301.54000000000002</v>
      </c>
      <c r="J21" s="10"/>
      <c r="K21" s="11">
        <v>143.46</v>
      </c>
      <c r="L21" s="12">
        <v>0</v>
      </c>
      <c r="M21" s="11">
        <v>194.04</v>
      </c>
      <c r="N21" s="11"/>
      <c r="O21" s="11">
        <v>95.8</v>
      </c>
      <c r="P21" s="15"/>
      <c r="Q21" s="20">
        <f>G21+I21+K21+L21+M21+O21</f>
        <v>808.17</v>
      </c>
      <c r="R21" s="12"/>
      <c r="S21" s="29"/>
    </row>
    <row r="22" spans="3:19" ht="15.75" x14ac:dyDescent="0.25">
      <c r="C22" s="65" t="s">
        <v>21</v>
      </c>
      <c r="D22" s="66"/>
      <c r="E22" s="5"/>
      <c r="F22" s="3"/>
      <c r="G22" s="11">
        <f>G21</f>
        <v>73.33</v>
      </c>
      <c r="H22" s="11">
        <f t="shared" ref="H22:L22" si="2">H21</f>
        <v>0</v>
      </c>
      <c r="I22" s="11">
        <f t="shared" si="2"/>
        <v>301.54000000000002</v>
      </c>
      <c r="J22" s="11">
        <f t="shared" si="2"/>
        <v>0</v>
      </c>
      <c r="K22" s="11">
        <f t="shared" si="2"/>
        <v>143.46</v>
      </c>
      <c r="L22" s="35">
        <f t="shared" si="2"/>
        <v>0</v>
      </c>
      <c r="M22" s="12">
        <v>163.55000000000001</v>
      </c>
      <c r="N22" s="12"/>
      <c r="O22" s="11">
        <v>95.8</v>
      </c>
      <c r="P22" s="16"/>
      <c r="Q22" s="20">
        <f>G22+I22+K22+L22+M22+O22</f>
        <v>777.68000000000006</v>
      </c>
      <c r="R22" s="12"/>
      <c r="S22" s="29"/>
    </row>
    <row r="23" spans="3:19" ht="15.75" x14ac:dyDescent="0.25">
      <c r="C23" s="4" t="s">
        <v>17</v>
      </c>
      <c r="D23" s="3"/>
      <c r="E23" s="6">
        <f>11.12*7.91*1</f>
        <v>87.959199999999996</v>
      </c>
      <c r="F23" s="3">
        <f>4.04*21.95*0.5</f>
        <v>44.338999999999999</v>
      </c>
      <c r="G23" s="11"/>
      <c r="H23" s="3"/>
      <c r="I23" s="11"/>
      <c r="J23" s="10"/>
      <c r="K23" s="11"/>
      <c r="L23" s="12"/>
      <c r="M23" s="11"/>
      <c r="N23" s="11"/>
      <c r="O23" s="11"/>
      <c r="P23" s="15"/>
      <c r="Q23" s="20"/>
      <c r="R23" s="14">
        <f>(Q24+Q25)/2</f>
        <v>781.75499999999988</v>
      </c>
      <c r="S23" s="28">
        <f>1091.27</f>
        <v>1091.27</v>
      </c>
    </row>
    <row r="24" spans="3:19" ht="15" customHeight="1" x14ac:dyDescent="0.25">
      <c r="C24" s="71" t="s">
        <v>13</v>
      </c>
      <c r="D24" s="73"/>
      <c r="E24" s="6"/>
      <c r="F24" s="3"/>
      <c r="G24" s="11">
        <v>73.33</v>
      </c>
      <c r="H24" s="3"/>
      <c r="I24" s="11">
        <v>290.37</v>
      </c>
      <c r="J24" s="10"/>
      <c r="K24" s="11">
        <v>143.46</v>
      </c>
      <c r="L24" s="12">
        <v>0</v>
      </c>
      <c r="M24" s="11">
        <v>194.04</v>
      </c>
      <c r="N24" s="11"/>
      <c r="O24" s="11">
        <v>95.8</v>
      </c>
      <c r="P24" s="15"/>
      <c r="Q24" s="20">
        <f>G24+I24+K24+L24+M24+O24</f>
        <v>796.99999999999989</v>
      </c>
      <c r="R24" s="12"/>
      <c r="S24" s="29"/>
    </row>
    <row r="25" spans="3:19" ht="15.75" x14ac:dyDescent="0.25">
      <c r="C25" s="65" t="s">
        <v>21</v>
      </c>
      <c r="D25" s="66"/>
      <c r="E25" s="5"/>
      <c r="F25" s="3"/>
      <c r="G25" s="11">
        <f>G24</f>
        <v>73.33</v>
      </c>
      <c r="H25" s="11">
        <f t="shared" ref="H25:L25" si="3">H24</f>
        <v>0</v>
      </c>
      <c r="I25" s="11">
        <f t="shared" si="3"/>
        <v>290.37</v>
      </c>
      <c r="J25" s="11">
        <f t="shared" si="3"/>
        <v>0</v>
      </c>
      <c r="K25" s="11">
        <f t="shared" si="3"/>
        <v>143.46</v>
      </c>
      <c r="L25" s="35">
        <f t="shared" si="3"/>
        <v>0</v>
      </c>
      <c r="M25" s="12">
        <v>163.55000000000001</v>
      </c>
      <c r="N25" s="12"/>
      <c r="O25" s="11">
        <v>95.8</v>
      </c>
      <c r="P25" s="16"/>
      <c r="Q25" s="20">
        <f>G25+I25+L25+K25+M25+O25</f>
        <v>766.51</v>
      </c>
      <c r="R25" s="12"/>
      <c r="S25" s="29"/>
    </row>
    <row r="26" spans="3:19" ht="8.25" customHeight="1" x14ac:dyDescent="0.25">
      <c r="P26" s="7"/>
    </row>
    <row r="27" spans="3:19" ht="15.75" x14ac:dyDescent="0.25">
      <c r="C27" t="s">
        <v>7</v>
      </c>
      <c r="P27" s="7"/>
    </row>
    <row r="28" spans="3:19" ht="15.75" x14ac:dyDescent="0.25">
      <c r="C28" s="8" t="s">
        <v>0</v>
      </c>
      <c r="N28" s="22"/>
      <c r="O28" s="22"/>
      <c r="P28" s="7"/>
      <c r="Q28" s="22"/>
    </row>
    <row r="29" spans="3:19" ht="15.75" x14ac:dyDescent="0.25">
      <c r="C29" s="67" t="s">
        <v>5</v>
      </c>
      <c r="D29" s="68"/>
      <c r="E29" s="77" t="s">
        <v>10</v>
      </c>
      <c r="F29" s="88" t="s">
        <v>1</v>
      </c>
      <c r="G29" s="88"/>
      <c r="H29" s="88"/>
      <c r="I29" s="88"/>
      <c r="J29" s="88"/>
      <c r="K29" s="88"/>
      <c r="L29" s="88"/>
      <c r="M29" s="88"/>
      <c r="N29" s="88"/>
      <c r="O29" s="93" t="s">
        <v>34</v>
      </c>
      <c r="P29" s="82" t="s">
        <v>33</v>
      </c>
      <c r="Q29" s="83"/>
    </row>
    <row r="30" spans="3:19" ht="38.25" customHeight="1" x14ac:dyDescent="0.25">
      <c r="C30" s="69"/>
      <c r="D30" s="70"/>
      <c r="E30" s="77"/>
      <c r="F30" s="89" t="s">
        <v>38</v>
      </c>
      <c r="G30" s="90"/>
      <c r="H30" s="91" t="s">
        <v>39</v>
      </c>
      <c r="I30" s="92"/>
      <c r="J30" s="91" t="s">
        <v>40</v>
      </c>
      <c r="K30" s="92"/>
      <c r="L30" s="23" t="s">
        <v>41</v>
      </c>
      <c r="M30" s="24" t="s">
        <v>8</v>
      </c>
      <c r="N30" s="25" t="s">
        <v>9</v>
      </c>
      <c r="O30" s="94"/>
      <c r="P30" s="84"/>
      <c r="Q30" s="85"/>
    </row>
    <row r="31" spans="3:19" x14ac:dyDescent="0.25">
      <c r="F31">
        <v>1</v>
      </c>
      <c r="G31">
        <v>1</v>
      </c>
      <c r="H31">
        <v>1</v>
      </c>
      <c r="I31" s="22">
        <v>1</v>
      </c>
      <c r="J31">
        <v>1</v>
      </c>
      <c r="K31" s="22">
        <v>1</v>
      </c>
      <c r="L31" s="22">
        <v>1</v>
      </c>
      <c r="M31" s="22">
        <v>0.9</v>
      </c>
      <c r="N31" s="22">
        <v>0.5</v>
      </c>
      <c r="O31" s="22"/>
      <c r="P31" s="7"/>
      <c r="Q31" s="22"/>
    </row>
    <row r="32" spans="3:19" ht="15.75" x14ac:dyDescent="0.25">
      <c r="C32" s="4" t="s">
        <v>47</v>
      </c>
      <c r="D32" s="3"/>
      <c r="E32" s="3">
        <v>19.48</v>
      </c>
      <c r="F32" s="3">
        <f>3.61*21.95*1</f>
        <v>79.239499999999992</v>
      </c>
      <c r="G32" s="12"/>
      <c r="H32" s="3">
        <f>2.43*108.42*1</f>
        <v>263.4606</v>
      </c>
      <c r="I32" s="12"/>
      <c r="J32" s="6">
        <f>6.04*23.96*1</f>
        <v>144.7184</v>
      </c>
      <c r="K32" s="12"/>
      <c r="L32" s="11"/>
      <c r="M32" s="11"/>
      <c r="N32" s="11"/>
      <c r="O32" s="11"/>
      <c r="P32" s="15">
        <f>E32+F32+H32+J32+L32+M32+N32</f>
        <v>506.89850000000001</v>
      </c>
      <c r="Q32" s="21"/>
      <c r="R32" s="26">
        <f>(Q33+Q34)/2</f>
        <v>938.19499999999994</v>
      </c>
      <c r="S32" s="30">
        <f>1002.71</f>
        <v>1002.71</v>
      </c>
    </row>
    <row r="33" spans="3:19" ht="15" customHeight="1" x14ac:dyDescent="0.25">
      <c r="C33" s="71" t="s">
        <v>12</v>
      </c>
      <c r="D33" s="74"/>
      <c r="E33" s="3"/>
      <c r="F33" s="3"/>
      <c r="G33" s="12">
        <v>81.91</v>
      </c>
      <c r="H33" s="3"/>
      <c r="I33" s="11">
        <f>I15*1.25</f>
        <v>296.52499999999998</v>
      </c>
      <c r="J33" s="6"/>
      <c r="K33" s="12">
        <v>156.97999999999999</v>
      </c>
      <c r="L33" s="11">
        <v>99.08</v>
      </c>
      <c r="M33" s="11">
        <v>233.64</v>
      </c>
      <c r="N33" s="11"/>
      <c r="O33" s="11">
        <v>95.8</v>
      </c>
      <c r="P33" s="15"/>
      <c r="Q33" s="20">
        <f>G33+I33+K33+L33+M33+O33</f>
        <v>963.93499999999995</v>
      </c>
      <c r="R33" s="3"/>
      <c r="S33" s="31"/>
    </row>
    <row r="34" spans="3:19" ht="15.75" x14ac:dyDescent="0.25">
      <c r="C34" s="65" t="s">
        <v>13</v>
      </c>
      <c r="D34" s="66"/>
      <c r="E34" s="3"/>
      <c r="F34" s="3"/>
      <c r="G34" s="12">
        <v>81.91</v>
      </c>
      <c r="H34" s="3"/>
      <c r="I34" s="11">
        <f>I16*1.25</f>
        <v>296.52499999999998</v>
      </c>
      <c r="J34" s="3"/>
      <c r="K34" s="12">
        <v>156.97999999999999</v>
      </c>
      <c r="L34" s="12">
        <v>99.08</v>
      </c>
      <c r="M34" s="12">
        <v>182.16</v>
      </c>
      <c r="N34" s="12"/>
      <c r="O34" s="11">
        <v>95.8</v>
      </c>
      <c r="P34" s="17"/>
      <c r="Q34" s="20">
        <f>G34+I34+K34+L34+M34+O34</f>
        <v>912.45499999999993</v>
      </c>
      <c r="R34" s="3"/>
      <c r="S34" s="31"/>
    </row>
    <row r="35" spans="3:19" ht="15.75" x14ac:dyDescent="0.25">
      <c r="C35" s="4" t="s">
        <v>2</v>
      </c>
      <c r="D35" s="3"/>
      <c r="E35" s="3">
        <v>19.48</v>
      </c>
      <c r="F35" s="3">
        <f>3.61*21.95*1</f>
        <v>79.239499999999992</v>
      </c>
      <c r="G35" s="12"/>
      <c r="H35" s="3">
        <f>2.43*108.42*1</f>
        <v>263.4606</v>
      </c>
      <c r="I35" s="12"/>
      <c r="J35" s="6">
        <f>6.04*23.96*1</f>
        <v>144.7184</v>
      </c>
      <c r="K35" s="12"/>
      <c r="L35" s="11"/>
      <c r="M35" s="11"/>
      <c r="N35" s="11"/>
      <c r="O35" s="11"/>
      <c r="P35" s="15">
        <f>E35+F35+H35+J35+L35+M35+N35</f>
        <v>506.89850000000001</v>
      </c>
      <c r="Q35" s="21"/>
      <c r="R35" s="26">
        <f>(Q36+Q37)/2</f>
        <v>926.34</v>
      </c>
      <c r="S35" s="30">
        <f>1002.71</f>
        <v>1002.71</v>
      </c>
    </row>
    <row r="36" spans="3:19" ht="15" customHeight="1" x14ac:dyDescent="0.25">
      <c r="C36" s="71" t="s">
        <v>12</v>
      </c>
      <c r="D36" s="74"/>
      <c r="E36" s="3"/>
      <c r="F36" s="3"/>
      <c r="G36" s="12">
        <v>81.91</v>
      </c>
      <c r="H36" s="3"/>
      <c r="I36" s="12">
        <v>284.67</v>
      </c>
      <c r="J36" s="6"/>
      <c r="K36" s="12">
        <v>156.97999999999999</v>
      </c>
      <c r="L36" s="11">
        <v>99.08</v>
      </c>
      <c r="M36" s="11">
        <v>233.64</v>
      </c>
      <c r="N36" s="11"/>
      <c r="O36" s="11">
        <v>95.8</v>
      </c>
      <c r="P36" s="15"/>
      <c r="Q36" s="20">
        <f>G36+I36+K36+L36+M36+O36</f>
        <v>952.08</v>
      </c>
      <c r="R36" s="3"/>
      <c r="S36" s="31"/>
    </row>
    <row r="37" spans="3:19" ht="15.75" x14ac:dyDescent="0.25">
      <c r="C37" s="65" t="s">
        <v>13</v>
      </c>
      <c r="D37" s="66"/>
      <c r="E37" s="3"/>
      <c r="F37" s="3"/>
      <c r="G37" s="12">
        <v>81.91</v>
      </c>
      <c r="H37" s="3"/>
      <c r="I37" s="12">
        <f>I36</f>
        <v>284.67</v>
      </c>
      <c r="J37" s="3"/>
      <c r="K37" s="12">
        <f>K36</f>
        <v>156.97999999999999</v>
      </c>
      <c r="L37" s="11">
        <f>L36</f>
        <v>99.08</v>
      </c>
      <c r="M37" s="12">
        <v>182.16</v>
      </c>
      <c r="N37" s="12"/>
      <c r="O37" s="11">
        <v>95.8</v>
      </c>
      <c r="P37" s="17"/>
      <c r="Q37" s="20">
        <f>G37+I37+K37+L37+M37+O37</f>
        <v>900.6</v>
      </c>
      <c r="R37" s="3"/>
      <c r="S37" s="31"/>
    </row>
    <row r="38" spans="3:19" ht="15.75" x14ac:dyDescent="0.25">
      <c r="C38" s="4" t="s">
        <v>3</v>
      </c>
      <c r="D38" s="3"/>
      <c r="E38" s="6">
        <f>11.12*7.91*1</f>
        <v>87.959199999999996</v>
      </c>
      <c r="F38" s="3">
        <f>4.04*21.95*1</f>
        <v>88.677999999999997</v>
      </c>
      <c r="G38" s="12"/>
      <c r="H38" s="3"/>
      <c r="I38" s="12"/>
      <c r="J38" s="6"/>
      <c r="K38" s="12"/>
      <c r="L38" s="12"/>
      <c r="M38" s="11"/>
      <c r="N38" s="11"/>
      <c r="O38" s="11"/>
      <c r="P38" s="18"/>
      <c r="Q38" s="21"/>
      <c r="R38" s="26">
        <f>(Q39+Q40)/2</f>
        <v>922.52499999999998</v>
      </c>
      <c r="S38" s="30">
        <f>(1058.44+1080.04)/2</f>
        <v>1069.24</v>
      </c>
    </row>
    <row r="39" spans="3:19" ht="15" customHeight="1" x14ac:dyDescent="0.25">
      <c r="C39" s="71" t="s">
        <v>13</v>
      </c>
      <c r="D39" s="75"/>
      <c r="E39" s="76"/>
      <c r="F39" s="3"/>
      <c r="G39" s="12">
        <v>91.67</v>
      </c>
      <c r="H39" s="3"/>
      <c r="I39" s="12">
        <v>376.93</v>
      </c>
      <c r="J39" s="6"/>
      <c r="K39" s="12">
        <v>179.33</v>
      </c>
      <c r="L39" s="12">
        <v>0</v>
      </c>
      <c r="M39" s="11">
        <v>194.04</v>
      </c>
      <c r="N39" s="11"/>
      <c r="O39" s="11">
        <v>95.8</v>
      </c>
      <c r="P39" s="18"/>
      <c r="Q39" s="20">
        <f>G39+I39+K39+L39+M39+O39</f>
        <v>937.77</v>
      </c>
      <c r="R39" s="3"/>
      <c r="S39" s="31"/>
    </row>
    <row r="40" spans="3:19" ht="15.75" x14ac:dyDescent="0.25">
      <c r="C40" s="65" t="s">
        <v>21</v>
      </c>
      <c r="D40" s="66"/>
      <c r="E40" s="3"/>
      <c r="F40" s="3"/>
      <c r="G40" s="12">
        <f>G39</f>
        <v>91.67</v>
      </c>
      <c r="H40" s="3"/>
      <c r="I40" s="12">
        <f>I39</f>
        <v>376.93</v>
      </c>
      <c r="J40" s="3"/>
      <c r="K40" s="12">
        <f>K39</f>
        <v>179.33</v>
      </c>
      <c r="L40" s="12">
        <v>0</v>
      </c>
      <c r="M40" s="12">
        <v>163.55000000000001</v>
      </c>
      <c r="N40" s="12"/>
      <c r="O40" s="11">
        <f>95.8</f>
        <v>95.8</v>
      </c>
      <c r="P40" s="17"/>
      <c r="Q40" s="21">
        <f>G40+I40+K40+L40+M40+O40</f>
        <v>907.28</v>
      </c>
      <c r="R40" s="3"/>
      <c r="S40" s="31"/>
    </row>
    <row r="41" spans="3:19" ht="15.75" x14ac:dyDescent="0.25">
      <c r="C41" s="4" t="s">
        <v>4</v>
      </c>
      <c r="D41" s="3"/>
      <c r="E41" s="6">
        <f>11.12*7.91*1</f>
        <v>87.959199999999996</v>
      </c>
      <c r="F41" s="3">
        <f>4.04*21.95*1</f>
        <v>88.677999999999997</v>
      </c>
      <c r="G41" s="12"/>
      <c r="H41" s="3"/>
      <c r="I41" s="12"/>
      <c r="J41" s="6"/>
      <c r="K41" s="12"/>
      <c r="L41" s="12"/>
      <c r="M41" s="11"/>
      <c r="N41" s="11"/>
      <c r="O41" s="11"/>
      <c r="P41" s="18"/>
      <c r="Q41" s="21"/>
      <c r="R41" s="26">
        <f>(Q42+Q43)/2</f>
        <v>908.56499999999994</v>
      </c>
      <c r="S41" s="30">
        <f>1222.36</f>
        <v>1222.3599999999999</v>
      </c>
    </row>
    <row r="42" spans="3:19" ht="15.75" x14ac:dyDescent="0.25">
      <c r="C42" s="71" t="s">
        <v>13</v>
      </c>
      <c r="D42" s="72"/>
      <c r="E42" s="6"/>
      <c r="F42" s="3"/>
      <c r="G42" s="12">
        <v>91.67</v>
      </c>
      <c r="H42" s="3"/>
      <c r="I42" s="12">
        <v>362.97</v>
      </c>
      <c r="J42" s="6"/>
      <c r="K42" s="12">
        <v>179.33</v>
      </c>
      <c r="L42" s="12">
        <v>0</v>
      </c>
      <c r="M42" s="11">
        <v>194.04</v>
      </c>
      <c r="N42" s="11"/>
      <c r="O42" s="11">
        <f>95.8</f>
        <v>95.8</v>
      </c>
      <c r="P42" s="18"/>
      <c r="Q42" s="20">
        <f>G42+I42+K42+L42+M42+O42</f>
        <v>923.81</v>
      </c>
      <c r="R42" s="3"/>
      <c r="S42" s="31"/>
    </row>
    <row r="43" spans="3:19" ht="15.75" x14ac:dyDescent="0.25">
      <c r="C43" s="65" t="s">
        <v>21</v>
      </c>
      <c r="D43" s="66"/>
      <c r="E43" s="3"/>
      <c r="F43" s="3"/>
      <c r="G43" s="12">
        <f>G42</f>
        <v>91.67</v>
      </c>
      <c r="H43" s="3"/>
      <c r="I43" s="12">
        <f>I42</f>
        <v>362.97</v>
      </c>
      <c r="J43" s="3"/>
      <c r="K43" s="12">
        <f>K42</f>
        <v>179.33</v>
      </c>
      <c r="L43" s="12">
        <v>0</v>
      </c>
      <c r="M43" s="11">
        <v>163.55000000000001</v>
      </c>
      <c r="N43" s="12"/>
      <c r="O43" s="11">
        <v>95.8</v>
      </c>
      <c r="P43" s="17"/>
      <c r="Q43" s="21">
        <f>G43+I43+K43+L43+M43+O43</f>
        <v>893.31999999999994</v>
      </c>
      <c r="R43" s="3"/>
      <c r="S43" s="31"/>
    </row>
    <row r="45" spans="3:19" x14ac:dyDescent="0.25">
      <c r="C45" t="s">
        <v>46</v>
      </c>
      <c r="M45" t="s">
        <v>42</v>
      </c>
      <c r="N45" t="s">
        <v>30</v>
      </c>
    </row>
    <row r="47" spans="3:19" x14ac:dyDescent="0.25">
      <c r="C47" t="s">
        <v>43</v>
      </c>
      <c r="M47" t="s">
        <v>30</v>
      </c>
    </row>
  </sheetData>
  <mergeCells count="36">
    <mergeCell ref="B7:R8"/>
    <mergeCell ref="G9:M9"/>
    <mergeCell ref="C12:D13"/>
    <mergeCell ref="E12:E13"/>
    <mergeCell ref="F12:N12"/>
    <mergeCell ref="O12:O13"/>
    <mergeCell ref="P12:Q13"/>
    <mergeCell ref="R12:R13"/>
    <mergeCell ref="C25:D25"/>
    <mergeCell ref="S12:S13"/>
    <mergeCell ref="F13:G13"/>
    <mergeCell ref="H13:I13"/>
    <mergeCell ref="J13:K13"/>
    <mergeCell ref="C15:D15"/>
    <mergeCell ref="C16:D16"/>
    <mergeCell ref="C18:D18"/>
    <mergeCell ref="C19:D19"/>
    <mergeCell ref="C21:D21"/>
    <mergeCell ref="C22:D22"/>
    <mergeCell ref="C24:D24"/>
    <mergeCell ref="C29:D30"/>
    <mergeCell ref="E29:E30"/>
    <mergeCell ref="F29:N29"/>
    <mergeCell ref="O29:O30"/>
    <mergeCell ref="P29:Q30"/>
    <mergeCell ref="F30:G30"/>
    <mergeCell ref="H30:I30"/>
    <mergeCell ref="J30:K30"/>
    <mergeCell ref="C42:D42"/>
    <mergeCell ref="C43:D43"/>
    <mergeCell ref="C33:D33"/>
    <mergeCell ref="C34:D34"/>
    <mergeCell ref="C36:D36"/>
    <mergeCell ref="C37:D37"/>
    <mergeCell ref="C39:E39"/>
    <mergeCell ref="C40:D40"/>
  </mergeCells>
  <pageMargins left="0" right="0" top="0.19685039370078741" bottom="0.19685039370078741" header="0.31496062992125984" footer="0.1181102362204724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01122022 правки</vt:lpstr>
      <vt:lpstr>Лист1</vt:lpstr>
      <vt:lpstr>01092022_2</vt:lpstr>
      <vt:lpstr>01092022_2_1</vt:lpstr>
    </vt:vector>
  </TitlesOfParts>
  <Company>TSMA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Ю. Крылова</dc:creator>
  <cp:lastModifiedBy>Елена В. Шаулина</cp:lastModifiedBy>
  <cp:lastPrinted>2023-03-21T10:16:42Z</cp:lastPrinted>
  <dcterms:created xsi:type="dcterms:W3CDTF">2015-03-26T14:14:33Z</dcterms:created>
  <dcterms:modified xsi:type="dcterms:W3CDTF">2023-03-21T10:17:53Z</dcterms:modified>
</cp:coreProperties>
</file>