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ЭУ\Приказы\Коммуналка на 2022-2023  год\"/>
    </mc:Choice>
  </mc:AlternateContent>
  <bookViews>
    <workbookView xWindow="0" yWindow="0" windowWidth="20730" windowHeight="11760"/>
  </bookViews>
  <sheets>
    <sheet name="01122022 правки" sheetId="8" r:id="rId1"/>
    <sheet name="Лист1" sheetId="1" r:id="rId2"/>
    <sheet name="неправильный" sheetId="2" state="hidden" r:id="rId3"/>
    <sheet name="01122022" sheetId="7" r:id="rId4"/>
    <sheet name="01092022_1_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8" l="1"/>
  <c r="J40" i="8"/>
  <c r="J38" i="8"/>
  <c r="J37" i="8"/>
  <c r="J35" i="8"/>
  <c r="J34" i="8"/>
  <c r="J32" i="8"/>
  <c r="J31" i="8"/>
  <c r="J24" i="8"/>
  <c r="J23" i="8"/>
  <c r="J21" i="8"/>
  <c r="J20" i="8"/>
  <c r="J18" i="8"/>
  <c r="J17" i="8"/>
  <c r="J15" i="8"/>
  <c r="J14" i="8"/>
  <c r="K41" i="8" l="1"/>
  <c r="E41" i="8"/>
  <c r="D41" i="8"/>
  <c r="C41" i="8"/>
  <c r="K40" i="8"/>
  <c r="K38" i="8"/>
  <c r="E38" i="8"/>
  <c r="D38" i="8"/>
  <c r="C38" i="8"/>
  <c r="K37" i="8"/>
  <c r="K35" i="8"/>
  <c r="F35" i="8"/>
  <c r="E35" i="8"/>
  <c r="D35" i="8"/>
  <c r="K34" i="8"/>
  <c r="K32" i="8"/>
  <c r="K31" i="8"/>
  <c r="K24" i="8"/>
  <c r="F24" i="8"/>
  <c r="E24" i="8"/>
  <c r="D24" i="8"/>
  <c r="C24" i="8"/>
  <c r="K23" i="8"/>
  <c r="K21" i="8"/>
  <c r="F21" i="8"/>
  <c r="E21" i="8"/>
  <c r="D21" i="8"/>
  <c r="K20" i="8"/>
  <c r="K18" i="8"/>
  <c r="F18" i="8"/>
  <c r="E18" i="8"/>
  <c r="D18" i="8"/>
  <c r="C18" i="8"/>
  <c r="K17" i="8"/>
  <c r="K15" i="8"/>
  <c r="F15" i="8"/>
  <c r="E15" i="8"/>
  <c r="D15" i="8"/>
  <c r="C15" i="8"/>
  <c r="K14" i="8"/>
  <c r="G37" i="7" l="1"/>
  <c r="G40" i="7"/>
  <c r="S35" i="7" l="1"/>
  <c r="V15" i="7"/>
  <c r="S21" i="7"/>
  <c r="S24" i="7"/>
  <c r="V24" i="7"/>
  <c r="V22" i="7"/>
  <c r="S18" i="7"/>
  <c r="S15" i="7"/>
  <c r="V42" i="7"/>
  <c r="V41" i="7"/>
  <c r="V39" i="7"/>
  <c r="V38" i="7"/>
  <c r="V36" i="7"/>
  <c r="V35" i="7"/>
  <c r="V33" i="7"/>
  <c r="V32" i="7"/>
  <c r="V25" i="7"/>
  <c r="V21" i="7"/>
  <c r="V19" i="7"/>
  <c r="V18" i="7"/>
  <c r="V16" i="7"/>
  <c r="M42" i="7"/>
  <c r="K42" i="7"/>
  <c r="I42" i="7"/>
  <c r="M39" i="7"/>
  <c r="K39" i="7"/>
  <c r="I39" i="7"/>
  <c r="N36" i="7"/>
  <c r="M36" i="7"/>
  <c r="K36" i="7"/>
  <c r="L34" i="7"/>
  <c r="J34" i="7"/>
  <c r="S32" i="7"/>
  <c r="N25" i="7"/>
  <c r="M25" i="7"/>
  <c r="L25" i="7"/>
  <c r="K25" i="7"/>
  <c r="J25" i="7"/>
  <c r="I25" i="7"/>
  <c r="N22" i="7"/>
  <c r="M22" i="7"/>
  <c r="L22" i="7"/>
  <c r="K22" i="7"/>
  <c r="J22" i="7"/>
  <c r="N19" i="7"/>
  <c r="M19" i="7"/>
  <c r="L19" i="7"/>
  <c r="K19" i="7"/>
  <c r="J19" i="7"/>
  <c r="I19" i="7"/>
  <c r="N16" i="7"/>
  <c r="M16" i="7"/>
  <c r="L16" i="7"/>
  <c r="K16" i="7"/>
  <c r="S33" i="7" s="1"/>
  <c r="J16" i="7"/>
  <c r="I16" i="7"/>
  <c r="K43" i="6"/>
  <c r="I43" i="6"/>
  <c r="G43" i="6"/>
  <c r="K40" i="6"/>
  <c r="I40" i="6"/>
  <c r="G40" i="6"/>
  <c r="L37" i="6"/>
  <c r="K37" i="6"/>
  <c r="I37" i="6"/>
  <c r="J35" i="6"/>
  <c r="H35" i="6"/>
  <c r="I33" i="6"/>
  <c r="L25" i="6"/>
  <c r="K25" i="6"/>
  <c r="Q25" i="6" s="1"/>
  <c r="J25" i="6"/>
  <c r="I25" i="6"/>
  <c r="H25" i="6"/>
  <c r="G25" i="6"/>
  <c r="L22" i="6"/>
  <c r="K22" i="6"/>
  <c r="J22" i="6"/>
  <c r="I22" i="6"/>
  <c r="H22" i="6"/>
  <c r="G22" i="6"/>
  <c r="L19" i="6"/>
  <c r="K19" i="6"/>
  <c r="J19" i="6"/>
  <c r="I19" i="6"/>
  <c r="H19" i="6"/>
  <c r="G19" i="6"/>
  <c r="L16" i="6"/>
  <c r="K16" i="6"/>
  <c r="J16" i="6"/>
  <c r="I16" i="6"/>
  <c r="I34" i="6" s="1"/>
  <c r="H16" i="6"/>
  <c r="G16" i="6"/>
  <c r="S41" i="7"/>
  <c r="U40" i="7"/>
  <c r="H40" i="7"/>
  <c r="S38" i="7"/>
  <c r="U37" i="7"/>
  <c r="H37" i="7"/>
  <c r="U34" i="7"/>
  <c r="H34" i="7"/>
  <c r="U31" i="7"/>
  <c r="L31" i="7"/>
  <c r="J31" i="7"/>
  <c r="H31" i="7"/>
  <c r="U23" i="7"/>
  <c r="H23" i="7"/>
  <c r="G23" i="7"/>
  <c r="U20" i="7"/>
  <c r="H20" i="7"/>
  <c r="G20" i="7"/>
  <c r="U17" i="7"/>
  <c r="H17" i="7"/>
  <c r="G17" i="7"/>
  <c r="U14" i="7"/>
  <c r="H14" i="7"/>
  <c r="R14" i="7" s="1"/>
  <c r="G14" i="7"/>
  <c r="Q42" i="6"/>
  <c r="S41" i="6"/>
  <c r="F41" i="6"/>
  <c r="E41" i="6"/>
  <c r="Q39" i="6"/>
  <c r="S38" i="6"/>
  <c r="F38" i="6"/>
  <c r="E38" i="6"/>
  <c r="Q36" i="6"/>
  <c r="S35" i="6"/>
  <c r="F35" i="6"/>
  <c r="Q33" i="6"/>
  <c r="S32" i="6"/>
  <c r="J32" i="6"/>
  <c r="H32" i="6"/>
  <c r="F32" i="6"/>
  <c r="Q24" i="6"/>
  <c r="S23" i="6"/>
  <c r="F23" i="6"/>
  <c r="E23" i="6"/>
  <c r="Q21" i="6"/>
  <c r="S20" i="6"/>
  <c r="F20" i="6"/>
  <c r="E20" i="6"/>
  <c r="Q18" i="6"/>
  <c r="S17" i="6"/>
  <c r="F17" i="6"/>
  <c r="E17" i="6"/>
  <c r="Q15" i="6"/>
  <c r="S14" i="6"/>
  <c r="F14" i="6"/>
  <c r="P14" i="6" s="1"/>
  <c r="E14" i="6"/>
  <c r="Q19" i="6" l="1"/>
  <c r="R17" i="6" s="1"/>
  <c r="Q40" i="6"/>
  <c r="R31" i="7"/>
  <c r="Q37" i="6"/>
  <c r="R35" i="6" s="1"/>
  <c r="Q43" i="6"/>
  <c r="R41" i="6" s="1"/>
  <c r="Q16" i="6"/>
  <c r="R14" i="6" s="1"/>
  <c r="Q22" i="6"/>
  <c r="S25" i="7"/>
  <c r="P32" i="6"/>
  <c r="R38" i="6"/>
  <c r="S16" i="7"/>
  <c r="S42" i="7"/>
  <c r="T40" i="7" s="1"/>
  <c r="S39" i="7"/>
  <c r="T37" i="7" s="1"/>
  <c r="S36" i="7"/>
  <c r="T34" i="7" s="1"/>
  <c r="S22" i="7"/>
  <c r="T20" i="7" s="1"/>
  <c r="S19" i="7"/>
  <c r="T17" i="7" s="1"/>
  <c r="T23" i="7"/>
  <c r="T14" i="7"/>
  <c r="T31" i="7"/>
  <c r="R34" i="7"/>
  <c r="R23" i="6"/>
  <c r="R20" i="6"/>
  <c r="P35" i="6"/>
  <c r="Q34" i="6"/>
  <c r="R32" i="6" s="1"/>
  <c r="Q40" i="2" l="1"/>
  <c r="Q39" i="2"/>
  <c r="S38" i="2"/>
  <c r="F38" i="2"/>
  <c r="E38" i="2"/>
  <c r="Q37" i="2"/>
  <c r="Q36" i="2"/>
  <c r="S35" i="2"/>
  <c r="F35" i="2"/>
  <c r="E35" i="2"/>
  <c r="Q34" i="2"/>
  <c r="Q33" i="2"/>
  <c r="S32" i="2"/>
  <c r="J32" i="2"/>
  <c r="H32" i="2"/>
  <c r="F32" i="2"/>
  <c r="Q25" i="2"/>
  <c r="Q24" i="2"/>
  <c r="S23" i="2"/>
  <c r="F23" i="2"/>
  <c r="E23" i="2"/>
  <c r="Q22" i="2"/>
  <c r="Q21" i="2"/>
  <c r="S20" i="2"/>
  <c r="F20" i="2"/>
  <c r="E20" i="2"/>
  <c r="Q19" i="2"/>
  <c r="Q18" i="2"/>
  <c r="S17" i="2"/>
  <c r="F17" i="2"/>
  <c r="E17" i="2"/>
  <c r="Q16" i="2"/>
  <c r="Q15" i="2"/>
  <c r="S14" i="2"/>
  <c r="F14" i="2"/>
  <c r="P14" i="2" s="1"/>
  <c r="E14" i="2"/>
  <c r="P32" i="2" l="1"/>
  <c r="R38" i="2"/>
  <c r="R35" i="2"/>
  <c r="R32" i="2"/>
  <c r="R20" i="2"/>
  <c r="R23" i="2"/>
  <c r="R17" i="2"/>
  <c r="R14" i="2"/>
  <c r="Q37" i="1"/>
  <c r="Q36" i="1"/>
  <c r="Q34" i="1"/>
  <c r="Q33" i="1"/>
  <c r="Q31" i="1"/>
  <c r="Q30" i="1"/>
  <c r="Q24" i="1"/>
  <c r="Q23" i="1"/>
  <c r="Q21" i="1"/>
  <c r="Q20" i="1"/>
  <c r="Q18" i="1"/>
  <c r="Q15" i="1"/>
  <c r="S35" i="1" l="1"/>
  <c r="S32" i="1"/>
  <c r="S29" i="1"/>
  <c r="S22" i="1"/>
  <c r="S19" i="1"/>
  <c r="S16" i="1"/>
  <c r="S13" i="1"/>
  <c r="R35" i="1" l="1"/>
  <c r="R32" i="1"/>
  <c r="R29" i="1"/>
  <c r="R22" i="1"/>
  <c r="R19" i="1"/>
  <c r="G17" i="1"/>
  <c r="I14" i="1"/>
  <c r="G14" i="1"/>
  <c r="Q17" i="1" l="1"/>
  <c r="R16" i="1" s="1"/>
  <c r="Q14" i="1"/>
  <c r="R13" i="1" s="1"/>
  <c r="J29" i="1"/>
  <c r="H29" i="1"/>
  <c r="F35" i="1"/>
  <c r="F32" i="1"/>
  <c r="F29" i="1"/>
  <c r="F22" i="1"/>
  <c r="F19" i="1"/>
  <c r="F16" i="1"/>
  <c r="F13" i="1"/>
  <c r="P13" i="1" s="1"/>
  <c r="E35" i="1" l="1"/>
  <c r="E32" i="1"/>
  <c r="E22" i="1"/>
  <c r="E19" i="1"/>
  <c r="E16" i="1"/>
  <c r="E13" i="1"/>
  <c r="P29" i="1" l="1"/>
</calcChain>
</file>

<file path=xl/sharedStrings.xml><?xml version="1.0" encoding="utf-8"?>
<sst xmlns="http://schemas.openxmlformats.org/spreadsheetml/2006/main" count="286" uniqueCount="86">
  <si>
    <t>физическими и/или юридическими лицами:</t>
  </si>
  <si>
    <t>Коммунальные услуги</t>
  </si>
  <si>
    <t xml:space="preserve"> общежитие №2</t>
  </si>
  <si>
    <t>общежитие №3</t>
  </si>
  <si>
    <t>общежитие №4</t>
  </si>
  <si>
    <t>Наименование</t>
  </si>
  <si>
    <r>
      <t xml:space="preserve"> - для обучающихся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за счет бюджетных ассигнований федерального бюджета:</t>
    </r>
  </si>
  <si>
    <r>
      <t xml:space="preserve">   - для обучающихся</t>
    </r>
    <r>
      <rPr>
        <b/>
        <sz val="12"/>
        <color rgb="FFFF0000"/>
        <rFont val="Calibri"/>
        <family val="2"/>
        <charset val="204"/>
        <scheme val="minor"/>
      </rPr>
      <t xml:space="preserve"> с полным возмещением затрат на обучение по договорам с </t>
    </r>
  </si>
  <si>
    <t>электроэнеригия  0,9</t>
  </si>
  <si>
    <t>отопление  0,5</t>
  </si>
  <si>
    <r>
      <t xml:space="preserve">Найм жилья    </t>
    </r>
    <r>
      <rPr>
        <b/>
        <i/>
        <sz val="8"/>
        <color rgb="FFC00000"/>
        <rFont val="Calibri"/>
        <family val="2"/>
        <charset val="204"/>
        <scheme val="minor"/>
      </rPr>
      <t xml:space="preserve"> 0,5;  1</t>
    </r>
  </si>
  <si>
    <t>газоснабжение   0.5</t>
  </si>
  <si>
    <t>комната  на 2 человека</t>
  </si>
  <si>
    <t>комната  на 3 человека</t>
  </si>
  <si>
    <t>общежитие № 1</t>
  </si>
  <si>
    <t xml:space="preserve"> общежитие № 2</t>
  </si>
  <si>
    <t xml:space="preserve"> общежитие № 3</t>
  </si>
  <si>
    <t xml:space="preserve"> общежитие № 4</t>
  </si>
  <si>
    <t>холодное водоснаб.                                                                                                       0,8</t>
  </si>
  <si>
    <t>горячее  водоснаб.                                                                                                                      0.8</t>
  </si>
  <si>
    <t>водоотведение                                                                                                                                 0,8</t>
  </si>
  <si>
    <t>комната  на 5 человек</t>
  </si>
  <si>
    <t>Итого   (руб.) (размер платы за коммунальные услуги)</t>
  </si>
  <si>
    <t xml:space="preserve"> Размер платы за коммунальные услуги для обучающихся, проживающих в общежитиях  с человека в месяц с 01.01.2021год:</t>
  </si>
  <si>
    <t xml:space="preserve">Средний размер платы </t>
  </si>
  <si>
    <t>Факт</t>
  </si>
  <si>
    <t>Утверждаю</t>
  </si>
  <si>
    <t>И.о.ректора ФГБОУ ВО ТГМУ</t>
  </si>
  <si>
    <t>Минздрава России</t>
  </si>
  <si>
    <t>_____________А.Б.Давыдов</t>
  </si>
  <si>
    <t>Начальник ПЭО</t>
  </si>
  <si>
    <t>И.Н.Каплова</t>
  </si>
  <si>
    <t>Твердые бытовые отходы (руб.)</t>
  </si>
  <si>
    <t>Ректор ФГБОУ ВО ТГМУ</t>
  </si>
  <si>
    <t>_____________Л.В.Чичановская</t>
  </si>
  <si>
    <t xml:space="preserve"> Размер платы за коммунальные услуги для обучающихся, проживающих в общежитиях  с человека в месяц с 01.07.2021год:</t>
  </si>
  <si>
    <t>Ю.А.Митрофановская</t>
  </si>
  <si>
    <t>холодное водоснаб.                                                                                                      1,0</t>
  </si>
  <si>
    <t>горячее  водоснаб.                                                                                                                      1,0</t>
  </si>
  <si>
    <t>водоотведение                                                                                                                                1,0</t>
  </si>
  <si>
    <t>газоснабжение   1,0</t>
  </si>
  <si>
    <t>(с отоплением)</t>
  </si>
  <si>
    <t>Приложение № 1</t>
  </si>
  <si>
    <t>Исполнитель</t>
  </si>
  <si>
    <t>Приложение № 1,1</t>
  </si>
  <si>
    <t>* В рамках утверждения размера платы за коммунальные услуги суммы  округлены по "правилу математики"</t>
  </si>
  <si>
    <t>Начальник ПЭУ</t>
  </si>
  <si>
    <t xml:space="preserve"> общежитие №1</t>
  </si>
  <si>
    <t xml:space="preserve"> Расчет размера  платы за коммунальные услуги для обучающихся, проживающих в общежитиях  с человека в месяц с 01.09.2022 год:</t>
  </si>
  <si>
    <t>Приложение 1</t>
  </si>
  <si>
    <r>
      <t xml:space="preserve">Найм жилья    </t>
    </r>
    <r>
      <rPr>
        <b/>
        <i/>
        <sz val="8"/>
        <color rgb="FFC00000"/>
        <rFont val="Times New Roman"/>
        <family val="1"/>
        <charset val="204"/>
      </rPr>
      <t xml:space="preserve"> 0,5;  1</t>
    </r>
  </si>
  <si>
    <t>к приказу ФГБОУ ВО Тверской ГМУ Минздрава России</t>
  </si>
  <si>
    <t>от ________________ 2023 года № ______</t>
  </si>
  <si>
    <t>Итого размер платы за коммунальные услуги (руб.)</t>
  </si>
  <si>
    <t>Е.В. Шаулина</t>
  </si>
  <si>
    <t>М.Ю. Крылова</t>
  </si>
  <si>
    <t>Установленный размер платы за коммунальные услуги для обучающихся, проживающих в общежитиях, с человека в месяц с 01.12.2022</t>
  </si>
  <si>
    <t>И.о. начальника планово-экономического управления</t>
  </si>
  <si>
    <t>горячее  водоснаб.                                                                                                                      0,8</t>
  </si>
  <si>
    <r>
      <t xml:space="preserve"> - для обучающихся </t>
    </r>
    <r>
      <rPr>
        <b/>
        <sz val="12"/>
        <rFont val="Times New Roman"/>
        <family val="1"/>
        <charset val="204"/>
      </rPr>
      <t>за счет бюджетных ассигнований федерального бюджета:</t>
    </r>
  </si>
  <si>
    <r>
      <t xml:space="preserve">   - для обучающихся</t>
    </r>
    <r>
      <rPr>
        <b/>
        <sz val="12"/>
        <rFont val="Times New Roman"/>
        <family val="1"/>
        <charset val="204"/>
      </rPr>
      <t xml:space="preserve"> с полным возмещением затрат на обучение по договорам с физическими и/или юридическими лицами:</t>
    </r>
  </si>
  <si>
    <t>общежитие № 3</t>
  </si>
  <si>
    <t>общежитие № 4</t>
  </si>
  <si>
    <t>общежитие № 2</t>
  </si>
  <si>
    <t>водоот-ведение                                                                                                                                 0,8</t>
  </si>
  <si>
    <t>газоснаб-жение   
0,5</t>
  </si>
  <si>
    <t>электро-энеригия  
0,9</t>
  </si>
  <si>
    <t>водоот-ведение                                                                                                                                1,0</t>
  </si>
  <si>
    <t>газоснаб-жение  
 1,0</t>
  </si>
  <si>
    <t>электро-энеригия  0,9</t>
  </si>
  <si>
    <t>Твердые бытовые отходы 
(руб.)</t>
  </si>
  <si>
    <t>Итого размер платы за коммунальные услуги 
(руб.)</t>
  </si>
  <si>
    <t>горячее  водоснабжение                                                                                                                 0,8</t>
  </si>
  <si>
    <t>газоснабжение   
0,5</t>
  </si>
  <si>
    <t>электроэнергия  
0,9</t>
  </si>
  <si>
    <t>холодное водоснабжение                                                                                                 1,0</t>
  </si>
  <si>
    <t>электроэнергия  0,9</t>
  </si>
  <si>
    <t>газоснабжение  
 1,0</t>
  </si>
  <si>
    <t>отопление  
0,5</t>
  </si>
  <si>
    <t>холодное водоснабжение                                                                                          0,8</t>
  </si>
  <si>
    <t>Размер платы за коммунальные услуги для обучающихся, проживающих в общежитиях ФГБОУ ВО Тверской ГМУ Минздрава России, 
в отопительный период с человека в месяц с 01.12.2022</t>
  </si>
  <si>
    <t>комната на 2 человека</t>
  </si>
  <si>
    <t>комната на 3 человека</t>
  </si>
  <si>
    <t>комната на 5 человек</t>
  </si>
  <si>
    <t>горячее  водоснабжение                                                                                                                  1,0</t>
  </si>
  <si>
    <t>Вывоз твердых бытовых отходов
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</si>
</sst>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8"/>
      <color rgb="FFC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1" xfId="0" applyBorder="1"/>
    <xf numFmtId="0" fontId="1" fillId="0" borderId="1" xfId="0" applyFont="1" applyBorder="1"/>
    <xf numFmtId="0" fontId="4" fillId="0" borderId="1" xfId="0" applyFont="1" applyBorder="1"/>
    <xf numFmtId="2" fontId="0" fillId="0" borderId="1" xfId="0" applyNumberFormat="1" applyBorder="1"/>
    <xf numFmtId="0" fontId="8" fillId="0" borderId="0" xfId="0" applyFont="1"/>
    <xf numFmtId="0" fontId="9" fillId="0" borderId="0" xfId="0" applyFont="1"/>
    <xf numFmtId="2" fontId="0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1" fontId="0" fillId="0" borderId="1" xfId="0" applyNumberForma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3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20" fillId="0" borderId="1" xfId="0" applyNumberFormat="1" applyFont="1" applyBorder="1" applyAlignment="1">
      <alignment wrapText="1"/>
    </xf>
    <xf numFmtId="2" fontId="20" fillId="0" borderId="1" xfId="0" applyNumberFormat="1" applyFont="1" applyBorder="1" applyAlignment="1">
      <alignment horizontal="center" wrapText="1"/>
    </xf>
    <xf numFmtId="2" fontId="32" fillId="0" borderId="1" xfId="0" applyNumberFormat="1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 wrapText="1"/>
    </xf>
    <xf numFmtId="0" fontId="29" fillId="3" borderId="1" xfId="0" applyFont="1" applyFill="1" applyBorder="1" applyAlignment="1">
      <alignment horizontal="center" wrapText="1"/>
    </xf>
    <xf numFmtId="2" fontId="20" fillId="0" borderId="0" xfId="0" applyNumberFormat="1" applyFont="1" applyAlignment="1">
      <alignment wrapText="1"/>
    </xf>
    <xf numFmtId="1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wrapText="1"/>
    </xf>
    <xf numFmtId="1" fontId="32" fillId="0" borderId="1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34" fillId="3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wrapText="1"/>
    </xf>
    <xf numFmtId="1" fontId="21" fillId="0" borderId="0" xfId="0" applyNumberFormat="1" applyFont="1" applyAlignment="1">
      <alignment wrapText="1"/>
    </xf>
    <xf numFmtId="0" fontId="35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2" fontId="23" fillId="0" borderId="1" xfId="0" applyNumberFormat="1" applyFont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right" wrapText="1"/>
    </xf>
    <xf numFmtId="0" fontId="33" fillId="0" borderId="1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22" fillId="0" borderId="1" xfId="0" applyFont="1" applyBorder="1" applyAlignment="1">
      <alignment wrapText="1"/>
    </xf>
    <xf numFmtId="2" fontId="19" fillId="0" borderId="1" xfId="0" applyNumberFormat="1" applyFont="1" applyBorder="1" applyAlignment="1">
      <alignment horizontal="center" wrapText="1"/>
    </xf>
    <xf numFmtId="0" fontId="39" fillId="0" borderId="1" xfId="0" applyFont="1" applyBorder="1" applyAlignment="1">
      <alignment wrapText="1"/>
    </xf>
    <xf numFmtId="1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38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8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/>
    <xf numFmtId="0" fontId="12" fillId="0" borderId="3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7" fillId="0" borderId="12" xfId="0" applyFont="1" applyBorder="1" applyAlignment="1">
      <alignment horizontal="left" wrapText="1"/>
    </xf>
    <xf numFmtId="0" fontId="37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9" fillId="3" borderId="9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3" fontId="22" fillId="0" borderId="1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2" fontId="19" fillId="0" borderId="1" xfId="0" applyNumberFormat="1" applyFont="1" applyFill="1" applyBorder="1" applyAlignment="1">
      <alignment wrapText="1"/>
    </xf>
    <xf numFmtId="2" fontId="19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wrapText="1"/>
    </xf>
    <xf numFmtId="1" fontId="19" fillId="0" borderId="1" xfId="0" applyNumberFormat="1" applyFont="1" applyFill="1" applyBorder="1" applyAlignment="1">
      <alignment horizontal="center" wrapText="1"/>
    </xf>
    <xf numFmtId="3" fontId="22" fillId="0" borderId="1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38" fillId="0" borderId="12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B1" zoomScaleNormal="100" workbookViewId="0">
      <selection activeCell="I27" sqref="I27:I28"/>
    </sheetView>
  </sheetViews>
  <sheetFormatPr defaultRowHeight="15" x14ac:dyDescent="0.25"/>
  <cols>
    <col min="1" max="1" width="9.140625" style="34" hidden="1" customWidth="1"/>
    <col min="2" max="2" width="25.85546875" style="34" customWidth="1"/>
    <col min="3" max="3" width="17.5703125" style="34" customWidth="1"/>
    <col min="4" max="4" width="18.140625" style="34" customWidth="1"/>
    <col min="5" max="5" width="15.85546875" style="34" customWidth="1"/>
    <col min="6" max="6" width="16.7109375" style="34" customWidth="1"/>
    <col min="7" max="7" width="16.5703125" style="34" customWidth="1"/>
    <col min="8" max="8" width="14" style="34" customWidth="1"/>
    <col min="9" max="9" width="17.7109375" style="34" customWidth="1"/>
    <col min="10" max="10" width="21.7109375" style="34" customWidth="1"/>
    <col min="11" max="11" width="9.7109375" style="35" bestFit="1" customWidth="1"/>
    <col min="12" max="16384" width="9.140625" style="34"/>
  </cols>
  <sheetData>
    <row r="1" spans="2:12" ht="15.75" x14ac:dyDescent="0.25">
      <c r="G1" s="75" t="s">
        <v>42</v>
      </c>
      <c r="H1" s="75"/>
      <c r="I1" s="75"/>
      <c r="J1" s="75"/>
    </row>
    <row r="2" spans="2:12" hidden="1" x14ac:dyDescent="0.25">
      <c r="G2" s="76" t="s">
        <v>26</v>
      </c>
      <c r="H2" s="76"/>
    </row>
    <row r="3" spans="2:12" ht="60" hidden="1" x14ac:dyDescent="0.25">
      <c r="G3" s="34" t="s">
        <v>33</v>
      </c>
    </row>
    <row r="4" spans="2:12" ht="45" hidden="1" x14ac:dyDescent="0.25">
      <c r="G4" s="34" t="s">
        <v>28</v>
      </c>
    </row>
    <row r="5" spans="2:12" ht="60" hidden="1" x14ac:dyDescent="0.25">
      <c r="G5" s="34" t="s">
        <v>34</v>
      </c>
    </row>
    <row r="6" spans="2:12" ht="15.75" x14ac:dyDescent="0.25">
      <c r="B6" s="36"/>
      <c r="C6" s="36"/>
      <c r="D6" s="75" t="s">
        <v>51</v>
      </c>
      <c r="E6" s="75"/>
      <c r="F6" s="75"/>
      <c r="G6" s="75"/>
      <c r="H6" s="75"/>
      <c r="I6" s="75"/>
      <c r="J6" s="75"/>
    </row>
    <row r="7" spans="2:12" ht="15.75" x14ac:dyDescent="0.25">
      <c r="B7" s="36"/>
      <c r="C7" s="36"/>
      <c r="D7" s="37"/>
      <c r="E7" s="37"/>
      <c r="F7" s="75" t="s">
        <v>52</v>
      </c>
      <c r="G7" s="75"/>
      <c r="H7" s="75"/>
      <c r="I7" s="75"/>
      <c r="J7" s="75"/>
    </row>
    <row r="8" spans="2:12" ht="39.75" customHeight="1" x14ac:dyDescent="0.25">
      <c r="B8" s="154" t="s">
        <v>80</v>
      </c>
      <c r="C8" s="154"/>
      <c r="D8" s="154"/>
      <c r="E8" s="154"/>
      <c r="F8" s="154"/>
      <c r="G8" s="154"/>
      <c r="H8" s="154"/>
      <c r="I8" s="154"/>
      <c r="J8" s="154"/>
    </row>
    <row r="9" spans="2:12" ht="15.75" x14ac:dyDescent="0.25">
      <c r="B9" s="79" t="s">
        <v>59</v>
      </c>
      <c r="C9" s="79"/>
      <c r="D9" s="79"/>
      <c r="E9" s="79"/>
      <c r="F9" s="79"/>
      <c r="G9" s="79"/>
      <c r="H9" s="79"/>
      <c r="I9" s="79"/>
      <c r="J9" s="79"/>
    </row>
    <row r="10" spans="2:12" ht="4.5" customHeight="1" x14ac:dyDescent="0.25"/>
    <row r="11" spans="2:12" ht="15" customHeight="1" x14ac:dyDescent="0.25">
      <c r="B11" s="137" t="s">
        <v>5</v>
      </c>
      <c r="C11" s="138" t="s">
        <v>1</v>
      </c>
      <c r="D11" s="138"/>
      <c r="E11" s="138"/>
      <c r="F11" s="138"/>
      <c r="G11" s="138"/>
      <c r="H11" s="138"/>
      <c r="I11" s="139" t="s">
        <v>85</v>
      </c>
      <c r="J11" s="140" t="s">
        <v>53</v>
      </c>
    </row>
    <row r="12" spans="2:12" s="57" customFormat="1" ht="45" customHeight="1" x14ac:dyDescent="0.25">
      <c r="B12" s="137"/>
      <c r="C12" s="141" t="s">
        <v>79</v>
      </c>
      <c r="D12" s="141" t="s">
        <v>72</v>
      </c>
      <c r="E12" s="141" t="s">
        <v>20</v>
      </c>
      <c r="F12" s="142" t="s">
        <v>73</v>
      </c>
      <c r="G12" s="142" t="s">
        <v>74</v>
      </c>
      <c r="H12" s="142" t="s">
        <v>78</v>
      </c>
      <c r="I12" s="143"/>
      <c r="J12" s="144"/>
      <c r="K12" s="65"/>
    </row>
    <row r="13" spans="2:12" ht="15.75" x14ac:dyDescent="0.25">
      <c r="B13" s="145" t="s">
        <v>14</v>
      </c>
      <c r="C13" s="146"/>
      <c r="D13" s="147"/>
      <c r="E13" s="147"/>
      <c r="F13" s="147"/>
      <c r="G13" s="146"/>
      <c r="H13" s="147"/>
      <c r="I13" s="147"/>
      <c r="J13" s="148"/>
      <c r="L13" s="45"/>
    </row>
    <row r="14" spans="2:12" ht="15.75" x14ac:dyDescent="0.25">
      <c r="B14" s="149" t="s">
        <v>81</v>
      </c>
      <c r="C14" s="150">
        <v>71</v>
      </c>
      <c r="D14" s="150">
        <v>261</v>
      </c>
      <c r="E14" s="150">
        <v>137</v>
      </c>
      <c r="F14" s="150">
        <v>54</v>
      </c>
      <c r="G14" s="150">
        <v>254</v>
      </c>
      <c r="H14" s="150">
        <v>202</v>
      </c>
      <c r="I14" s="150">
        <v>95.8</v>
      </c>
      <c r="J14" s="151">
        <f>SUM(C14:I14)</f>
        <v>1074.8</v>
      </c>
      <c r="K14" s="35">
        <f>66+237+126+50+234+96+184</f>
        <v>993</v>
      </c>
      <c r="L14" s="45"/>
    </row>
    <row r="15" spans="2:12" ht="15.75" x14ac:dyDescent="0.25">
      <c r="B15" s="149" t="s">
        <v>82</v>
      </c>
      <c r="C15" s="150">
        <f>C14</f>
        <v>71</v>
      </c>
      <c r="D15" s="150">
        <f t="shared" ref="D15:F15" si="0">D14</f>
        <v>261</v>
      </c>
      <c r="E15" s="150">
        <f t="shared" si="0"/>
        <v>137</v>
      </c>
      <c r="F15" s="150">
        <f t="shared" si="0"/>
        <v>54</v>
      </c>
      <c r="G15" s="150">
        <v>199</v>
      </c>
      <c r="H15" s="150">
        <v>164</v>
      </c>
      <c r="I15" s="150">
        <v>95.8</v>
      </c>
      <c r="J15" s="151">
        <f>SUM(C15:I15)</f>
        <v>981.8</v>
      </c>
      <c r="K15" s="35">
        <f>66+237+126+50+182+96+149</f>
        <v>906</v>
      </c>
      <c r="L15" s="45"/>
    </row>
    <row r="16" spans="2:12" ht="15.75" x14ac:dyDescent="0.25">
      <c r="B16" s="145" t="s">
        <v>63</v>
      </c>
      <c r="C16" s="150"/>
      <c r="D16" s="150"/>
      <c r="E16" s="150"/>
      <c r="F16" s="150"/>
      <c r="G16" s="150"/>
      <c r="H16" s="150"/>
      <c r="I16" s="150"/>
      <c r="J16" s="151"/>
    </row>
    <row r="17" spans="2:11" ht="15.75" x14ac:dyDescent="0.25">
      <c r="B17" s="149" t="s">
        <v>81</v>
      </c>
      <c r="C17" s="150">
        <v>71</v>
      </c>
      <c r="D17" s="150">
        <v>251</v>
      </c>
      <c r="E17" s="150">
        <v>137</v>
      </c>
      <c r="F17" s="150">
        <v>54</v>
      </c>
      <c r="G17" s="150">
        <v>254</v>
      </c>
      <c r="H17" s="150">
        <v>202</v>
      </c>
      <c r="I17" s="150">
        <v>95.8</v>
      </c>
      <c r="J17" s="151">
        <f>SUM(C17:I17)</f>
        <v>1064.8</v>
      </c>
      <c r="K17" s="35">
        <f>66+228+126+50+234+96+184</f>
        <v>984</v>
      </c>
    </row>
    <row r="18" spans="2:11" ht="15.75" x14ac:dyDescent="0.25">
      <c r="B18" s="149" t="s">
        <v>82</v>
      </c>
      <c r="C18" s="150">
        <f>C17</f>
        <v>71</v>
      </c>
      <c r="D18" s="150">
        <f t="shared" ref="D18:F18" si="1">D17</f>
        <v>251</v>
      </c>
      <c r="E18" s="150">
        <f t="shared" si="1"/>
        <v>137</v>
      </c>
      <c r="F18" s="150">
        <f t="shared" si="1"/>
        <v>54</v>
      </c>
      <c r="G18" s="150">
        <v>198</v>
      </c>
      <c r="H18" s="150">
        <v>164</v>
      </c>
      <c r="I18" s="150">
        <v>95.8</v>
      </c>
      <c r="J18" s="151">
        <f>SUM(C18:I18)</f>
        <v>970.8</v>
      </c>
      <c r="K18" s="35">
        <f>66+228+126+50+182+96+149</f>
        <v>897</v>
      </c>
    </row>
    <row r="19" spans="2:11" ht="15.75" x14ac:dyDescent="0.25">
      <c r="B19" s="145" t="s">
        <v>61</v>
      </c>
      <c r="C19" s="150"/>
      <c r="D19" s="150"/>
      <c r="E19" s="150"/>
      <c r="F19" s="150"/>
      <c r="G19" s="150"/>
      <c r="H19" s="150"/>
      <c r="I19" s="150"/>
      <c r="J19" s="151"/>
    </row>
    <row r="20" spans="2:11" ht="15.75" x14ac:dyDescent="0.25">
      <c r="B20" s="149" t="s">
        <v>82</v>
      </c>
      <c r="C20" s="150">
        <v>80</v>
      </c>
      <c r="D20" s="150">
        <v>332</v>
      </c>
      <c r="E20" s="150">
        <v>156</v>
      </c>
      <c r="F20" s="150">
        <v>0</v>
      </c>
      <c r="G20" s="150">
        <v>212</v>
      </c>
      <c r="H20" s="150">
        <v>322</v>
      </c>
      <c r="I20" s="150">
        <v>95.8</v>
      </c>
      <c r="J20" s="151">
        <f>SUM(C20:I20)</f>
        <v>1197.8</v>
      </c>
      <c r="K20" s="55">
        <f>73+302+143+194+96+293</f>
        <v>1101</v>
      </c>
    </row>
    <row r="21" spans="2:11" ht="15.75" x14ac:dyDescent="0.25">
      <c r="B21" s="149" t="s">
        <v>83</v>
      </c>
      <c r="C21" s="150">
        <v>80</v>
      </c>
      <c r="D21" s="150">
        <f t="shared" ref="D21:F21" si="2">D20</f>
        <v>332</v>
      </c>
      <c r="E21" s="150">
        <f t="shared" si="2"/>
        <v>156</v>
      </c>
      <c r="F21" s="150">
        <f t="shared" si="2"/>
        <v>0</v>
      </c>
      <c r="G21" s="150">
        <v>178</v>
      </c>
      <c r="H21" s="150">
        <v>289</v>
      </c>
      <c r="I21" s="150">
        <v>95.8</v>
      </c>
      <c r="J21" s="151">
        <f>SUM(C21:I21)</f>
        <v>1130.8</v>
      </c>
      <c r="K21" s="55">
        <f>73+302+143+164+96+262</f>
        <v>1040</v>
      </c>
    </row>
    <row r="22" spans="2:11" ht="15.75" x14ac:dyDescent="0.25">
      <c r="B22" s="145" t="s">
        <v>62</v>
      </c>
      <c r="C22" s="150"/>
      <c r="D22" s="150"/>
      <c r="E22" s="150"/>
      <c r="F22" s="150"/>
      <c r="G22" s="150"/>
      <c r="H22" s="150"/>
      <c r="I22" s="150"/>
      <c r="J22" s="151"/>
    </row>
    <row r="23" spans="2:11" ht="15.75" x14ac:dyDescent="0.25">
      <c r="B23" s="149" t="s">
        <v>82</v>
      </c>
      <c r="C23" s="150">
        <v>80</v>
      </c>
      <c r="D23" s="150">
        <v>319</v>
      </c>
      <c r="E23" s="150">
        <v>156</v>
      </c>
      <c r="F23" s="150">
        <v>0</v>
      </c>
      <c r="G23" s="150">
        <v>212</v>
      </c>
      <c r="H23" s="150">
        <v>322</v>
      </c>
      <c r="I23" s="150">
        <v>95.8</v>
      </c>
      <c r="J23" s="151">
        <f>SUM(C23:I23)</f>
        <v>1184.8</v>
      </c>
      <c r="K23" s="55">
        <f>73+290+143+194+293+96</f>
        <v>1089</v>
      </c>
    </row>
    <row r="24" spans="2:11" ht="15.75" x14ac:dyDescent="0.25">
      <c r="B24" s="149" t="s">
        <v>83</v>
      </c>
      <c r="C24" s="150">
        <f>C23</f>
        <v>80</v>
      </c>
      <c r="D24" s="150">
        <f t="shared" ref="D24:F24" si="3">D23</f>
        <v>319</v>
      </c>
      <c r="E24" s="150">
        <f t="shared" si="3"/>
        <v>156</v>
      </c>
      <c r="F24" s="150">
        <f t="shared" si="3"/>
        <v>0</v>
      </c>
      <c r="G24" s="150">
        <v>178</v>
      </c>
      <c r="H24" s="150">
        <v>289</v>
      </c>
      <c r="I24" s="150">
        <v>95.8</v>
      </c>
      <c r="J24" s="151">
        <f>SUM(C24:I24)</f>
        <v>1117.8</v>
      </c>
      <c r="K24" s="55">
        <f>73+290+143+164+96+262</f>
        <v>1028</v>
      </c>
    </row>
    <row r="25" spans="2:11" ht="6.75" customHeight="1" x14ac:dyDescent="0.25">
      <c r="B25" s="152"/>
      <c r="C25" s="152"/>
      <c r="D25" s="152"/>
      <c r="E25" s="152"/>
      <c r="F25" s="152"/>
      <c r="G25" s="152"/>
      <c r="H25" s="152"/>
      <c r="I25" s="152"/>
      <c r="J25" s="152"/>
    </row>
    <row r="26" spans="2:11" ht="15.75" customHeight="1" x14ac:dyDescent="0.25">
      <c r="B26" s="153" t="s">
        <v>60</v>
      </c>
      <c r="C26" s="153"/>
      <c r="D26" s="153"/>
      <c r="E26" s="153"/>
      <c r="F26" s="153"/>
      <c r="G26" s="153"/>
      <c r="H26" s="153"/>
      <c r="I26" s="153"/>
      <c r="J26" s="153"/>
    </row>
    <row r="27" spans="2:11" ht="15.75" customHeight="1" x14ac:dyDescent="0.25">
      <c r="B27" s="137" t="s">
        <v>5</v>
      </c>
      <c r="C27" s="138" t="s">
        <v>1</v>
      </c>
      <c r="D27" s="138"/>
      <c r="E27" s="138"/>
      <c r="F27" s="138"/>
      <c r="G27" s="138"/>
      <c r="H27" s="138"/>
      <c r="I27" s="139" t="s">
        <v>85</v>
      </c>
      <c r="J27" s="140" t="s">
        <v>53</v>
      </c>
    </row>
    <row r="28" spans="2:11" ht="45.75" customHeight="1" x14ac:dyDescent="0.25">
      <c r="B28" s="137"/>
      <c r="C28" s="141" t="s">
        <v>75</v>
      </c>
      <c r="D28" s="141" t="s">
        <v>84</v>
      </c>
      <c r="E28" s="141" t="s">
        <v>39</v>
      </c>
      <c r="F28" s="142" t="s">
        <v>77</v>
      </c>
      <c r="G28" s="142" t="s">
        <v>76</v>
      </c>
      <c r="H28" s="142" t="s">
        <v>78</v>
      </c>
      <c r="I28" s="143"/>
      <c r="J28" s="144"/>
    </row>
    <row r="29" spans="2:11" ht="15.75" hidden="1" x14ac:dyDescent="0.25">
      <c r="B29" s="72"/>
      <c r="C29" s="66">
        <v>1</v>
      </c>
      <c r="D29" s="73">
        <v>1</v>
      </c>
      <c r="E29" s="73">
        <v>1</v>
      </c>
      <c r="F29" s="73">
        <v>1</v>
      </c>
      <c r="G29" s="73">
        <v>0.9</v>
      </c>
      <c r="H29" s="73">
        <v>0.5</v>
      </c>
      <c r="I29" s="73"/>
      <c r="J29" s="73"/>
    </row>
    <row r="30" spans="2:11" ht="15.75" x14ac:dyDescent="0.25">
      <c r="B30" s="68" t="s">
        <v>14</v>
      </c>
      <c r="C30" s="74"/>
      <c r="D30" s="74"/>
      <c r="E30" s="74"/>
      <c r="F30" s="69"/>
      <c r="G30" s="69"/>
      <c r="H30" s="69"/>
      <c r="I30" s="69"/>
      <c r="J30" s="58"/>
    </row>
    <row r="31" spans="2:11" ht="15.75" x14ac:dyDescent="0.25">
      <c r="B31" s="70" t="s">
        <v>81</v>
      </c>
      <c r="C31" s="71">
        <v>89</v>
      </c>
      <c r="D31" s="71">
        <v>326</v>
      </c>
      <c r="E31" s="71">
        <v>171</v>
      </c>
      <c r="F31" s="71">
        <v>108</v>
      </c>
      <c r="G31" s="71">
        <v>254</v>
      </c>
      <c r="H31" s="71">
        <v>202</v>
      </c>
      <c r="I31" s="71">
        <v>95.8</v>
      </c>
      <c r="J31" s="136">
        <f>SUM(C31:I31)</f>
        <v>1245.8</v>
      </c>
      <c r="K31" s="35">
        <f>82+297+157+99+234+96+184</f>
        <v>1149</v>
      </c>
    </row>
    <row r="32" spans="2:11" ht="15.75" x14ac:dyDescent="0.25">
      <c r="B32" s="70" t="s">
        <v>82</v>
      </c>
      <c r="C32" s="71">
        <v>89</v>
      </c>
      <c r="D32" s="71">
        <v>326</v>
      </c>
      <c r="E32" s="71">
        <v>171</v>
      </c>
      <c r="F32" s="71">
        <v>108</v>
      </c>
      <c r="G32" s="71">
        <v>198</v>
      </c>
      <c r="H32" s="71">
        <v>164</v>
      </c>
      <c r="I32" s="71">
        <v>95.8</v>
      </c>
      <c r="J32" s="136">
        <f>SUM(C32:I32)</f>
        <v>1151.8</v>
      </c>
      <c r="K32" s="35">
        <f>82+297+157+99+182+96+149</f>
        <v>1062</v>
      </c>
    </row>
    <row r="33" spans="2:11" ht="15.75" x14ac:dyDescent="0.25">
      <c r="B33" s="68" t="s">
        <v>63</v>
      </c>
      <c r="C33" s="71"/>
      <c r="D33" s="71"/>
      <c r="E33" s="71"/>
      <c r="F33" s="71"/>
      <c r="G33" s="71"/>
      <c r="H33" s="71"/>
      <c r="I33" s="71"/>
      <c r="J33" s="136"/>
    </row>
    <row r="34" spans="2:11" ht="15.75" x14ac:dyDescent="0.25">
      <c r="B34" s="70" t="s">
        <v>81</v>
      </c>
      <c r="C34" s="71">
        <v>89</v>
      </c>
      <c r="D34" s="71">
        <v>313</v>
      </c>
      <c r="E34" s="71">
        <v>171</v>
      </c>
      <c r="F34" s="71">
        <v>108</v>
      </c>
      <c r="G34" s="71">
        <v>254</v>
      </c>
      <c r="H34" s="71">
        <v>202</v>
      </c>
      <c r="I34" s="71">
        <v>95.8</v>
      </c>
      <c r="J34" s="136">
        <f>SUM(C34:I34)</f>
        <v>1232.8</v>
      </c>
      <c r="K34" s="35">
        <f>82+285+157+99+234+96+184</f>
        <v>1137</v>
      </c>
    </row>
    <row r="35" spans="2:11" ht="15.75" x14ac:dyDescent="0.25">
      <c r="B35" s="70" t="s">
        <v>82</v>
      </c>
      <c r="C35" s="71">
        <v>89</v>
      </c>
      <c r="D35" s="71">
        <f>D34</f>
        <v>313</v>
      </c>
      <c r="E35" s="71">
        <f>E34</f>
        <v>171</v>
      </c>
      <c r="F35" s="71">
        <f>F34</f>
        <v>108</v>
      </c>
      <c r="G35" s="71">
        <v>198</v>
      </c>
      <c r="H35" s="71">
        <v>164</v>
      </c>
      <c r="I35" s="71">
        <v>95.8</v>
      </c>
      <c r="J35" s="136">
        <f>SUM(C35:I35)</f>
        <v>1138.8</v>
      </c>
      <c r="K35" s="35">
        <f>82+285+157+99+182+96+149</f>
        <v>1050</v>
      </c>
    </row>
    <row r="36" spans="2:11" ht="15.75" x14ac:dyDescent="0.25">
      <c r="B36" s="68" t="s">
        <v>61</v>
      </c>
      <c r="C36" s="71"/>
      <c r="D36" s="71"/>
      <c r="E36" s="71"/>
      <c r="F36" s="71"/>
      <c r="G36" s="71"/>
      <c r="H36" s="71"/>
      <c r="I36" s="71"/>
      <c r="J36" s="136"/>
    </row>
    <row r="37" spans="2:11" ht="15.75" x14ac:dyDescent="0.25">
      <c r="B37" s="70" t="s">
        <v>82</v>
      </c>
      <c r="C37" s="71">
        <v>100</v>
      </c>
      <c r="D37" s="71">
        <v>415</v>
      </c>
      <c r="E37" s="71">
        <v>195</v>
      </c>
      <c r="F37" s="71">
        <v>0</v>
      </c>
      <c r="G37" s="71">
        <v>212</v>
      </c>
      <c r="H37" s="71">
        <v>322</v>
      </c>
      <c r="I37" s="71">
        <v>95.8</v>
      </c>
      <c r="J37" s="136">
        <f>SUM(C37:I37)</f>
        <v>1339.8</v>
      </c>
      <c r="K37" s="35">
        <f>92+377+179+194+96+293</f>
        <v>1231</v>
      </c>
    </row>
    <row r="38" spans="2:11" ht="15.75" x14ac:dyDescent="0.25">
      <c r="B38" s="70" t="s">
        <v>83</v>
      </c>
      <c r="C38" s="71">
        <f>C37</f>
        <v>100</v>
      </c>
      <c r="D38" s="71">
        <f>D37</f>
        <v>415</v>
      </c>
      <c r="E38" s="71">
        <f>E37</f>
        <v>195</v>
      </c>
      <c r="F38" s="71">
        <v>0</v>
      </c>
      <c r="G38" s="71">
        <v>178</v>
      </c>
      <c r="H38" s="71">
        <v>289</v>
      </c>
      <c r="I38" s="71">
        <v>95.8</v>
      </c>
      <c r="J38" s="136">
        <f>SUM(C38:I38)</f>
        <v>1272.8</v>
      </c>
      <c r="K38" s="35">
        <f>92+377+179+164+96+262</f>
        <v>1170</v>
      </c>
    </row>
    <row r="39" spans="2:11" ht="15.75" x14ac:dyDescent="0.25">
      <c r="B39" s="68" t="s">
        <v>62</v>
      </c>
      <c r="C39" s="71"/>
      <c r="D39" s="71"/>
      <c r="E39" s="71"/>
      <c r="F39" s="71"/>
      <c r="G39" s="71"/>
      <c r="H39" s="71"/>
      <c r="I39" s="71"/>
      <c r="J39" s="136"/>
    </row>
    <row r="40" spans="2:11" ht="15.75" x14ac:dyDescent="0.25">
      <c r="B40" s="70" t="s">
        <v>82</v>
      </c>
      <c r="C40" s="71">
        <v>100</v>
      </c>
      <c r="D40" s="71">
        <v>399</v>
      </c>
      <c r="E40" s="71">
        <v>195</v>
      </c>
      <c r="F40" s="71">
        <v>0</v>
      </c>
      <c r="G40" s="71">
        <v>212</v>
      </c>
      <c r="H40" s="71">
        <v>322</v>
      </c>
      <c r="I40" s="71">
        <v>95.8</v>
      </c>
      <c r="J40" s="136">
        <f>SUM(C40:I40)</f>
        <v>1323.8</v>
      </c>
      <c r="K40" s="35">
        <f>92+363+179+194+96+293</f>
        <v>1217</v>
      </c>
    </row>
    <row r="41" spans="2:11" ht="15.75" x14ac:dyDescent="0.25">
      <c r="B41" s="70" t="s">
        <v>83</v>
      </c>
      <c r="C41" s="71">
        <f>C40</f>
        <v>100</v>
      </c>
      <c r="D41" s="71">
        <f>D40</f>
        <v>399</v>
      </c>
      <c r="E41" s="71">
        <f>E40</f>
        <v>195</v>
      </c>
      <c r="F41" s="71">
        <v>0</v>
      </c>
      <c r="G41" s="71">
        <v>178</v>
      </c>
      <c r="H41" s="71">
        <v>289</v>
      </c>
      <c r="I41" s="71">
        <v>95.8</v>
      </c>
      <c r="J41" s="136">
        <f>SUM(C41:I41)</f>
        <v>1256.8</v>
      </c>
      <c r="K41" s="35">
        <f>92+363+179+164+96+262</f>
        <v>1156</v>
      </c>
    </row>
    <row r="42" spans="2:11" ht="18.75" customHeight="1" x14ac:dyDescent="0.25">
      <c r="B42" s="78" t="s">
        <v>45</v>
      </c>
      <c r="C42" s="78"/>
      <c r="D42" s="78"/>
      <c r="E42" s="78"/>
      <c r="F42" s="78"/>
      <c r="G42" s="78"/>
      <c r="H42" s="78"/>
      <c r="I42" s="78"/>
      <c r="J42" s="78"/>
    </row>
    <row r="43" spans="2:11" ht="6" customHeight="1" x14ac:dyDescent="0.25"/>
    <row r="44" spans="2:11" ht="17.25" customHeight="1" x14ac:dyDescent="0.25">
      <c r="B44" s="77" t="s">
        <v>57</v>
      </c>
      <c r="C44" s="77"/>
      <c r="D44" s="77"/>
      <c r="E44" s="77"/>
      <c r="F44" s="77"/>
      <c r="G44" s="66"/>
      <c r="H44" s="75" t="s">
        <v>54</v>
      </c>
      <c r="I44" s="75"/>
      <c r="J44" s="75"/>
    </row>
    <row r="45" spans="2:11" ht="6" customHeight="1" x14ac:dyDescent="0.25">
      <c r="B45" s="67"/>
      <c r="C45" s="67"/>
      <c r="D45" s="67"/>
      <c r="E45" s="66"/>
      <c r="F45" s="66"/>
      <c r="G45" s="66"/>
      <c r="H45" s="37"/>
      <c r="I45" s="37"/>
      <c r="J45" s="37"/>
    </row>
    <row r="46" spans="2:11" ht="18" customHeight="1" x14ac:dyDescent="0.25">
      <c r="B46" s="77" t="s">
        <v>43</v>
      </c>
      <c r="C46" s="77"/>
      <c r="D46" s="77"/>
      <c r="E46" s="66"/>
      <c r="F46" s="66"/>
      <c r="G46" s="66"/>
      <c r="H46" s="75" t="s">
        <v>55</v>
      </c>
      <c r="I46" s="75"/>
      <c r="J46" s="75"/>
    </row>
  </sheetData>
  <mergeCells count="20">
    <mergeCell ref="B9:J9"/>
    <mergeCell ref="B11:B12"/>
    <mergeCell ref="C11:H11"/>
    <mergeCell ref="I11:I12"/>
    <mergeCell ref="J11:J12"/>
    <mergeCell ref="B27:B28"/>
    <mergeCell ref="C27:H27"/>
    <mergeCell ref="I27:I28"/>
    <mergeCell ref="J27:J28"/>
    <mergeCell ref="B26:J26"/>
    <mergeCell ref="B44:F44"/>
    <mergeCell ref="B42:J42"/>
    <mergeCell ref="H44:J44"/>
    <mergeCell ref="B46:D46"/>
    <mergeCell ref="H46:J46"/>
    <mergeCell ref="G1:J1"/>
    <mergeCell ref="G2:H2"/>
    <mergeCell ref="D6:J6"/>
    <mergeCell ref="F7:J7"/>
    <mergeCell ref="B8:J8"/>
  </mergeCells>
  <pageMargins left="0.59055118110236227" right="0" top="0.39370078740157483" bottom="0.19685039370078741" header="0.31496062992125984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0"/>
  <sheetViews>
    <sheetView workbookViewId="0">
      <selection activeCell="Q24" sqref="Q24"/>
    </sheetView>
  </sheetViews>
  <sheetFormatPr defaultRowHeight="15" x14ac:dyDescent="0.25"/>
  <cols>
    <col min="4" max="4" width="10.28515625" customWidth="1"/>
    <col min="5" max="5" width="0.140625" customWidth="1"/>
    <col min="6" max="6" width="0.140625" hidden="1" customWidth="1"/>
    <col min="7" max="7" width="7.85546875" customWidth="1"/>
    <col min="8" max="8" width="7.28515625" hidden="1" customWidth="1"/>
    <col min="10" max="10" width="8" hidden="1" customWidth="1"/>
    <col min="14" max="15" width="10.85546875" customWidth="1"/>
    <col min="16" max="16" width="0" hidden="1" customWidth="1"/>
    <col min="17" max="17" width="16.42578125" customWidth="1"/>
    <col min="18" max="19" width="0" hidden="1" customWidth="1"/>
  </cols>
  <sheetData>
    <row r="1" spans="2:21" x14ac:dyDescent="0.25">
      <c r="N1" t="s">
        <v>26</v>
      </c>
    </row>
    <row r="2" spans="2:21" x14ac:dyDescent="0.25">
      <c r="M2" t="s">
        <v>27</v>
      </c>
    </row>
    <row r="3" spans="2:21" x14ac:dyDescent="0.25">
      <c r="M3" t="s">
        <v>28</v>
      </c>
    </row>
    <row r="4" spans="2:21" x14ac:dyDescent="0.25">
      <c r="M4" t="s">
        <v>29</v>
      </c>
    </row>
    <row r="5" spans="2:21" ht="15.7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1" ht="27.75" customHeight="1" x14ac:dyDescent="0.25">
      <c r="B6" s="88" t="s">
        <v>23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2:21" ht="9.75" customHeight="1" x14ac:dyDescent="0.25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9" spans="2:21" ht="15.75" x14ac:dyDescent="0.25">
      <c r="C9" t="s">
        <v>6</v>
      </c>
    </row>
    <row r="11" spans="2:21" ht="15" customHeight="1" x14ac:dyDescent="0.25">
      <c r="C11" s="99" t="s">
        <v>5</v>
      </c>
      <c r="D11" s="100"/>
      <c r="E11" s="109" t="s">
        <v>10</v>
      </c>
      <c r="F11" s="90" t="s">
        <v>1</v>
      </c>
      <c r="G11" s="90"/>
      <c r="H11" s="90"/>
      <c r="I11" s="90"/>
      <c r="J11" s="90"/>
      <c r="K11" s="90"/>
      <c r="L11" s="90"/>
      <c r="M11" s="90"/>
      <c r="N11" s="90"/>
      <c r="O11" s="95" t="s">
        <v>32</v>
      </c>
      <c r="P11" s="84" t="s">
        <v>22</v>
      </c>
      <c r="Q11" s="85"/>
      <c r="R11" s="80" t="s">
        <v>24</v>
      </c>
      <c r="S11" s="82" t="s">
        <v>25</v>
      </c>
    </row>
    <row r="12" spans="2:21" ht="35.25" customHeight="1" x14ac:dyDescent="0.25">
      <c r="C12" s="101"/>
      <c r="D12" s="102"/>
      <c r="E12" s="109"/>
      <c r="F12" s="91" t="s">
        <v>18</v>
      </c>
      <c r="G12" s="92"/>
      <c r="H12" s="93" t="s">
        <v>19</v>
      </c>
      <c r="I12" s="94"/>
      <c r="J12" s="93" t="s">
        <v>20</v>
      </c>
      <c r="K12" s="94"/>
      <c r="L12" s="23" t="s">
        <v>11</v>
      </c>
      <c r="M12" s="24" t="s">
        <v>8</v>
      </c>
      <c r="N12" s="25" t="s">
        <v>9</v>
      </c>
      <c r="O12" s="96"/>
      <c r="P12" s="86"/>
      <c r="Q12" s="87"/>
      <c r="R12" s="81"/>
      <c r="S12" s="83"/>
    </row>
    <row r="13" spans="2:21" x14ac:dyDescent="0.25">
      <c r="C13" s="4" t="s">
        <v>14</v>
      </c>
      <c r="D13" s="3"/>
      <c r="E13" s="9">
        <f>6.66*5.59*0.5</f>
        <v>18.614699999999999</v>
      </c>
      <c r="F13" s="6">
        <f>3.61*21.95*0.5</f>
        <v>39.619749999999996</v>
      </c>
      <c r="G13" s="6"/>
      <c r="H13" s="3"/>
      <c r="I13" s="11"/>
      <c r="J13" s="6"/>
      <c r="K13" s="11"/>
      <c r="L13" s="13"/>
      <c r="M13" s="6"/>
      <c r="N13" s="11"/>
      <c r="O13" s="11"/>
      <c r="P13" s="15">
        <f>F13+H13+J13+L13+M13+N13</f>
        <v>39.619749999999996</v>
      </c>
      <c r="Q13" s="14"/>
      <c r="R13" s="14">
        <f>(Q14+Q15)/2</f>
        <v>897.58999999999992</v>
      </c>
      <c r="S13" s="28">
        <f>810.92</f>
        <v>810.92</v>
      </c>
      <c r="U13" s="2"/>
    </row>
    <row r="14" spans="2:21" ht="15.75" x14ac:dyDescent="0.25">
      <c r="C14" s="103" t="s">
        <v>12</v>
      </c>
      <c r="D14" s="106"/>
      <c r="E14" s="9"/>
      <c r="F14" s="6"/>
      <c r="G14" s="11">
        <f>63.39</f>
        <v>63.39</v>
      </c>
      <c r="H14" s="3"/>
      <c r="I14" s="11">
        <f>219.55</f>
        <v>219.55</v>
      </c>
      <c r="J14" s="6"/>
      <c r="K14" s="11">
        <v>115.77</v>
      </c>
      <c r="L14" s="13">
        <v>47.26</v>
      </c>
      <c r="M14" s="11">
        <v>226.74</v>
      </c>
      <c r="N14" s="11">
        <v>170.02</v>
      </c>
      <c r="O14" s="11">
        <v>95.8</v>
      </c>
      <c r="P14" s="15"/>
      <c r="Q14" s="20">
        <f>G14+I14+K14+L14+M14+N14+O14</f>
        <v>938.53</v>
      </c>
      <c r="R14" s="12"/>
      <c r="S14" s="29"/>
      <c r="U14" s="2"/>
    </row>
    <row r="15" spans="2:21" ht="15.75" x14ac:dyDescent="0.25">
      <c r="C15" s="103" t="s">
        <v>13</v>
      </c>
      <c r="D15" s="104"/>
      <c r="E15" s="5"/>
      <c r="F15" s="5"/>
      <c r="G15" s="12">
        <v>63.39</v>
      </c>
      <c r="H15" s="3"/>
      <c r="I15" s="12">
        <v>219.55</v>
      </c>
      <c r="J15" s="3"/>
      <c r="K15" s="12">
        <v>115.77</v>
      </c>
      <c r="L15" s="19">
        <v>47.26</v>
      </c>
      <c r="M15" s="11">
        <v>176.78</v>
      </c>
      <c r="N15" s="12">
        <v>138.1</v>
      </c>
      <c r="O15" s="11">
        <v>95.8</v>
      </c>
      <c r="P15" s="15"/>
      <c r="Q15" s="20">
        <f>G15+I15+K15+L15+M15+N15+O15</f>
        <v>856.65</v>
      </c>
      <c r="R15" s="12"/>
      <c r="S15" s="29"/>
      <c r="U15" s="2"/>
    </row>
    <row r="16" spans="2:21" ht="15.75" x14ac:dyDescent="0.25">
      <c r="C16" s="4" t="s">
        <v>15</v>
      </c>
      <c r="D16" s="3"/>
      <c r="E16" s="6">
        <f>6.66*5.85*0.5</f>
        <v>19.480499999999999</v>
      </c>
      <c r="F16" s="3">
        <f>3.61*21.95*0.5</f>
        <v>39.619749999999996</v>
      </c>
      <c r="G16" s="11"/>
      <c r="H16" s="3"/>
      <c r="I16" s="11"/>
      <c r="J16" s="6"/>
      <c r="K16" s="11"/>
      <c r="L16" s="11"/>
      <c r="M16" s="11"/>
      <c r="N16" s="11"/>
      <c r="O16" s="11"/>
      <c r="P16" s="15"/>
      <c r="Q16" s="20"/>
      <c r="R16" s="27">
        <f>(Q17+Q18)/2</f>
        <v>888.81</v>
      </c>
      <c r="S16" s="28">
        <f>841.64</f>
        <v>841.64</v>
      </c>
    </row>
    <row r="17" spans="3:19" ht="15.75" x14ac:dyDescent="0.25">
      <c r="C17" s="103" t="s">
        <v>12</v>
      </c>
      <c r="D17" s="105"/>
      <c r="E17" s="6"/>
      <c r="F17" s="3"/>
      <c r="G17" s="11">
        <f>63.39</f>
        <v>63.39</v>
      </c>
      <c r="H17" s="3"/>
      <c r="I17" s="11">
        <v>210.77</v>
      </c>
      <c r="J17" s="6"/>
      <c r="K17" s="11">
        <v>115.77</v>
      </c>
      <c r="L17" s="11">
        <v>47.26</v>
      </c>
      <c r="M17" s="11">
        <v>226.74</v>
      </c>
      <c r="N17" s="11">
        <v>170.02</v>
      </c>
      <c r="O17" s="11">
        <v>95.8</v>
      </c>
      <c r="P17" s="15"/>
      <c r="Q17" s="20">
        <f>G17+I17+K17+L17+M17+N17+O17</f>
        <v>929.75</v>
      </c>
      <c r="R17" s="12"/>
      <c r="S17" s="29"/>
    </row>
    <row r="18" spans="3:19" ht="15.75" x14ac:dyDescent="0.25">
      <c r="C18" s="97" t="s">
        <v>13</v>
      </c>
      <c r="D18" s="98"/>
      <c r="E18" s="5"/>
      <c r="F18" s="5"/>
      <c r="G18" s="12">
        <v>63.39</v>
      </c>
      <c r="H18" s="3"/>
      <c r="I18" s="12">
        <v>210.77</v>
      </c>
      <c r="J18" s="3"/>
      <c r="K18" s="12">
        <v>115.77</v>
      </c>
      <c r="L18" s="12">
        <v>47.26</v>
      </c>
      <c r="M18" s="12">
        <v>176.78</v>
      </c>
      <c r="N18" s="12">
        <v>138.1</v>
      </c>
      <c r="O18" s="11">
        <v>95.8</v>
      </c>
      <c r="P18" s="16"/>
      <c r="Q18" s="20">
        <f>G18+I18+K18+L18+M18+N18+O18</f>
        <v>847.87</v>
      </c>
      <c r="R18" s="12"/>
      <c r="S18" s="29"/>
    </row>
    <row r="19" spans="3:19" ht="15.75" x14ac:dyDescent="0.25">
      <c r="C19" s="4" t="s">
        <v>16</v>
      </c>
      <c r="D19" s="3"/>
      <c r="E19" s="6">
        <f>11.12*7.91*1</f>
        <v>87.959199999999996</v>
      </c>
      <c r="F19" s="3">
        <f>4.04*21.95*0.5</f>
        <v>44.338999999999999</v>
      </c>
      <c r="G19" s="11"/>
      <c r="H19" s="3"/>
      <c r="I19" s="11"/>
      <c r="J19" s="10"/>
      <c r="K19" s="11"/>
      <c r="L19" s="12"/>
      <c r="M19" s="11"/>
      <c r="N19" s="11"/>
      <c r="O19" s="11"/>
      <c r="P19" s="15"/>
      <c r="Q19" s="20"/>
      <c r="R19" s="14">
        <f>(Q20+Q21)/2</f>
        <v>1008.7549999999999</v>
      </c>
      <c r="S19" s="28">
        <f>(917.9+944.13)/2</f>
        <v>931.01499999999999</v>
      </c>
    </row>
    <row r="20" spans="3:19" ht="15" customHeight="1" x14ac:dyDescent="0.25">
      <c r="C20" s="103" t="s">
        <v>13</v>
      </c>
      <c r="D20" s="105"/>
      <c r="E20" s="6"/>
      <c r="F20" s="3"/>
      <c r="G20" s="11">
        <v>70.94</v>
      </c>
      <c r="H20" s="3"/>
      <c r="I20" s="11">
        <v>279.08</v>
      </c>
      <c r="J20" s="10"/>
      <c r="K20" s="11">
        <v>132.26</v>
      </c>
      <c r="L20" s="12">
        <v>0</v>
      </c>
      <c r="M20" s="11">
        <v>188.37</v>
      </c>
      <c r="N20" s="11">
        <v>271.33</v>
      </c>
      <c r="O20" s="11">
        <v>95.8</v>
      </c>
      <c r="P20" s="15"/>
      <c r="Q20" s="20">
        <f>G20+I20+K20+L20+M20+N20+O20</f>
        <v>1037.78</v>
      </c>
      <c r="R20" s="12"/>
      <c r="S20" s="29"/>
    </row>
    <row r="21" spans="3:19" ht="15.75" x14ac:dyDescent="0.25">
      <c r="C21" s="97" t="s">
        <v>21</v>
      </c>
      <c r="D21" s="98"/>
      <c r="E21" s="5"/>
      <c r="F21" s="3"/>
      <c r="G21" s="12">
        <v>70.94</v>
      </c>
      <c r="H21" s="3"/>
      <c r="I21" s="12">
        <v>279.08</v>
      </c>
      <c r="J21" s="3"/>
      <c r="K21" s="12">
        <v>132.26</v>
      </c>
      <c r="L21" s="12">
        <v>0</v>
      </c>
      <c r="M21" s="12">
        <v>158.77000000000001</v>
      </c>
      <c r="N21" s="12">
        <v>242.88</v>
      </c>
      <c r="O21" s="11">
        <v>95.8</v>
      </c>
      <c r="P21" s="16"/>
      <c r="Q21" s="20">
        <f>G21+I21+K21+L21+M21+N21+O21</f>
        <v>979.7299999999999</v>
      </c>
      <c r="R21" s="12"/>
      <c r="S21" s="29"/>
    </row>
    <row r="22" spans="3:19" ht="15.75" x14ac:dyDescent="0.25">
      <c r="C22" s="4" t="s">
        <v>17</v>
      </c>
      <c r="D22" s="3"/>
      <c r="E22" s="6">
        <f>11.12*7.91*1</f>
        <v>87.959199999999996</v>
      </c>
      <c r="F22" s="3">
        <f>4.04*21.95*0.5</f>
        <v>44.338999999999999</v>
      </c>
      <c r="G22" s="11"/>
      <c r="H22" s="3"/>
      <c r="I22" s="11"/>
      <c r="J22" s="10"/>
      <c r="K22" s="11"/>
      <c r="L22" s="12"/>
      <c r="M22" s="11"/>
      <c r="N22" s="11"/>
      <c r="O22" s="11"/>
      <c r="P22" s="15"/>
      <c r="Q22" s="20"/>
      <c r="R22" s="14">
        <f>(Q23+Q24)/2</f>
        <v>998.41499999999996</v>
      </c>
      <c r="S22" s="28">
        <f>1091.27</f>
        <v>1091.27</v>
      </c>
    </row>
    <row r="23" spans="3:19" ht="15" customHeight="1" x14ac:dyDescent="0.25">
      <c r="C23" s="103" t="s">
        <v>13</v>
      </c>
      <c r="D23" s="105"/>
      <c r="E23" s="6"/>
      <c r="F23" s="3"/>
      <c r="G23" s="11">
        <v>70.94</v>
      </c>
      <c r="H23" s="3"/>
      <c r="I23" s="11">
        <v>268.74</v>
      </c>
      <c r="J23" s="10"/>
      <c r="K23" s="11">
        <v>132.26</v>
      </c>
      <c r="L23" s="12">
        <v>0</v>
      </c>
      <c r="M23" s="11">
        <v>188.37</v>
      </c>
      <c r="N23" s="11">
        <v>271.33</v>
      </c>
      <c r="O23" s="11">
        <v>95.8</v>
      </c>
      <c r="P23" s="15"/>
      <c r="Q23" s="20">
        <f>G23+I23+K23+L23+M23+N23+O23</f>
        <v>1027.4399999999998</v>
      </c>
      <c r="R23" s="12"/>
      <c r="S23" s="29"/>
    </row>
    <row r="24" spans="3:19" ht="15.75" x14ac:dyDescent="0.25">
      <c r="C24" s="97" t="s">
        <v>21</v>
      </c>
      <c r="D24" s="98"/>
      <c r="E24" s="5"/>
      <c r="F24" s="3"/>
      <c r="G24" s="12">
        <v>70.94</v>
      </c>
      <c r="H24" s="3"/>
      <c r="I24" s="12">
        <v>268.74</v>
      </c>
      <c r="J24" s="3"/>
      <c r="K24" s="12">
        <v>132.26</v>
      </c>
      <c r="L24" s="12">
        <v>0</v>
      </c>
      <c r="M24" s="12">
        <v>158.77000000000001</v>
      </c>
      <c r="N24" s="12">
        <v>242.88</v>
      </c>
      <c r="O24" s="11">
        <v>95.8</v>
      </c>
      <c r="P24" s="16"/>
      <c r="Q24" s="20">
        <f>G24+I24+L24+K24+M24+N24+O24</f>
        <v>969.39</v>
      </c>
      <c r="R24" s="12"/>
      <c r="S24" s="29"/>
    </row>
    <row r="25" spans="3:19" x14ac:dyDescent="0.25">
      <c r="P25" s="7"/>
    </row>
    <row r="26" spans="3:19" ht="15.75" x14ac:dyDescent="0.25">
      <c r="C26" t="s">
        <v>7</v>
      </c>
      <c r="P26" s="7"/>
    </row>
    <row r="27" spans="3:19" ht="15.75" x14ac:dyDescent="0.25">
      <c r="C27" s="8" t="s">
        <v>0</v>
      </c>
      <c r="N27" s="22"/>
      <c r="O27" s="22"/>
      <c r="P27" s="7"/>
      <c r="Q27" s="22"/>
    </row>
    <row r="28" spans="3:19" x14ac:dyDescent="0.25">
      <c r="F28">
        <v>1</v>
      </c>
      <c r="G28">
        <v>1</v>
      </c>
      <c r="H28">
        <v>1</v>
      </c>
      <c r="I28" s="22">
        <v>1</v>
      </c>
      <c r="J28">
        <v>1</v>
      </c>
      <c r="K28" s="22">
        <v>1</v>
      </c>
      <c r="L28" s="22">
        <v>1</v>
      </c>
      <c r="M28" s="22">
        <v>0.9</v>
      </c>
      <c r="N28" s="22">
        <v>0.5</v>
      </c>
      <c r="O28" s="22"/>
      <c r="P28" s="7"/>
      <c r="Q28" s="22"/>
    </row>
    <row r="29" spans="3:19" ht="15.75" x14ac:dyDescent="0.25">
      <c r="C29" s="4" t="s">
        <v>2</v>
      </c>
      <c r="D29" s="3"/>
      <c r="E29" s="3">
        <v>19.48</v>
      </c>
      <c r="F29" s="3">
        <f>3.61*21.95*1</f>
        <v>79.239499999999992</v>
      </c>
      <c r="G29" s="12"/>
      <c r="H29" s="3">
        <f>2.43*108.42*1</f>
        <v>263.4606</v>
      </c>
      <c r="I29" s="12"/>
      <c r="J29" s="6">
        <f>6.04*23.96*1</f>
        <v>144.7184</v>
      </c>
      <c r="K29" s="12"/>
      <c r="L29" s="11"/>
      <c r="M29" s="11"/>
      <c r="N29" s="11"/>
      <c r="O29" s="11"/>
      <c r="P29" s="15">
        <f>E29+F29+H29+J29+L29+M29+N29</f>
        <v>506.89850000000001</v>
      </c>
      <c r="Q29" s="21"/>
      <c r="R29" s="26">
        <f>(Q30+Q31)/2</f>
        <v>1033.5509999999999</v>
      </c>
      <c r="S29" s="30">
        <f>1002.71</f>
        <v>1002.71</v>
      </c>
    </row>
    <row r="30" spans="3:19" ht="15" customHeight="1" x14ac:dyDescent="0.25">
      <c r="C30" s="103" t="s">
        <v>12</v>
      </c>
      <c r="D30" s="106"/>
      <c r="E30" s="3"/>
      <c r="F30" s="3"/>
      <c r="G30" s="12">
        <v>79.239999999999995</v>
      </c>
      <c r="H30" s="3"/>
      <c r="I30" s="12">
        <v>263.45999999999998</v>
      </c>
      <c r="J30" s="6"/>
      <c r="K30" s="12">
        <v>144.72</v>
      </c>
      <c r="L30" s="11">
        <v>94.512</v>
      </c>
      <c r="M30" s="11">
        <v>226.74</v>
      </c>
      <c r="N30" s="11">
        <v>170.02</v>
      </c>
      <c r="O30" s="11">
        <v>95.8</v>
      </c>
      <c r="P30" s="15"/>
      <c r="Q30" s="20">
        <f>G30+I30+K30+L30+M30+N30+O30</f>
        <v>1074.492</v>
      </c>
      <c r="R30" s="3"/>
      <c r="S30" s="31"/>
    </row>
    <row r="31" spans="3:19" ht="15.75" x14ac:dyDescent="0.25">
      <c r="C31" s="97" t="s">
        <v>13</v>
      </c>
      <c r="D31" s="98"/>
      <c r="E31" s="3"/>
      <c r="F31" s="3"/>
      <c r="G31" s="12">
        <v>79.239999999999995</v>
      </c>
      <c r="H31" s="3"/>
      <c r="I31" s="12">
        <v>263.45999999999998</v>
      </c>
      <c r="J31" s="3"/>
      <c r="K31" s="12">
        <v>144.72</v>
      </c>
      <c r="L31" s="12">
        <v>94.51</v>
      </c>
      <c r="M31" s="12">
        <v>176.78</v>
      </c>
      <c r="N31" s="12">
        <v>138.1</v>
      </c>
      <c r="O31" s="11">
        <v>95.8</v>
      </c>
      <c r="P31" s="17"/>
      <c r="Q31" s="20">
        <f>G31+I31+K31+L31+M31+N31+O31</f>
        <v>992.6099999999999</v>
      </c>
      <c r="R31" s="3"/>
      <c r="S31" s="31"/>
    </row>
    <row r="32" spans="3:19" ht="15.75" x14ac:dyDescent="0.25">
      <c r="C32" s="4" t="s">
        <v>3</v>
      </c>
      <c r="D32" s="3"/>
      <c r="E32" s="6">
        <f>11.12*7.91*1</f>
        <v>87.959199999999996</v>
      </c>
      <c r="F32" s="3">
        <f>4.04*21.95*1</f>
        <v>88.677999999999997</v>
      </c>
      <c r="G32" s="12"/>
      <c r="H32" s="3"/>
      <c r="I32" s="12"/>
      <c r="J32" s="6"/>
      <c r="K32" s="12"/>
      <c r="L32" s="12"/>
      <c r="M32" s="11"/>
      <c r="N32" s="11"/>
      <c r="O32" s="11"/>
      <c r="P32" s="18"/>
      <c r="Q32" s="21"/>
      <c r="R32" s="26">
        <f>(Q33+Q34)/2</f>
        <v>1129.3249999999998</v>
      </c>
      <c r="S32" s="30">
        <f>(1058.44+1080.04)/2</f>
        <v>1069.24</v>
      </c>
    </row>
    <row r="33" spans="3:19" ht="15" customHeight="1" x14ac:dyDescent="0.25">
      <c r="C33" s="103" t="s">
        <v>13</v>
      </c>
      <c r="D33" s="107"/>
      <c r="E33" s="108"/>
      <c r="F33" s="3"/>
      <c r="G33" s="12">
        <v>88.68</v>
      </c>
      <c r="H33" s="3"/>
      <c r="I33" s="12">
        <v>348.85</v>
      </c>
      <c r="J33" s="6"/>
      <c r="K33" s="12">
        <v>165.32</v>
      </c>
      <c r="L33" s="12">
        <v>0</v>
      </c>
      <c r="M33" s="11">
        <v>188.37</v>
      </c>
      <c r="N33" s="11">
        <v>271.33</v>
      </c>
      <c r="O33" s="11">
        <v>95.8</v>
      </c>
      <c r="P33" s="18"/>
      <c r="Q33" s="20">
        <f>G33+I33+K33+L33+M33+N33+O33</f>
        <v>1158.3499999999999</v>
      </c>
      <c r="R33" s="3"/>
      <c r="S33" s="31"/>
    </row>
    <row r="34" spans="3:19" ht="15.75" x14ac:dyDescent="0.25">
      <c r="C34" s="97" t="s">
        <v>21</v>
      </c>
      <c r="D34" s="98"/>
      <c r="E34" s="3"/>
      <c r="F34" s="3"/>
      <c r="G34" s="12">
        <v>88.68</v>
      </c>
      <c r="H34" s="3"/>
      <c r="I34" s="12">
        <v>348.85</v>
      </c>
      <c r="J34" s="3"/>
      <c r="K34" s="12">
        <v>165.32</v>
      </c>
      <c r="L34" s="12">
        <v>0</v>
      </c>
      <c r="M34" s="12">
        <v>158.77000000000001</v>
      </c>
      <c r="N34" s="12">
        <v>242.88</v>
      </c>
      <c r="O34" s="11">
        <v>95.8</v>
      </c>
      <c r="P34" s="17"/>
      <c r="Q34" s="20">
        <f>G34+I34+K34+L34+M34+N34+O34</f>
        <v>1100.3</v>
      </c>
      <c r="R34" s="3"/>
      <c r="S34" s="31"/>
    </row>
    <row r="35" spans="3:19" ht="15.75" x14ac:dyDescent="0.25">
      <c r="C35" s="4" t="s">
        <v>4</v>
      </c>
      <c r="D35" s="3"/>
      <c r="E35" s="6">
        <f>11.12*7.91*1</f>
        <v>87.959199999999996</v>
      </c>
      <c r="F35" s="3">
        <f>4.04*21.95*1</f>
        <v>88.677999999999997</v>
      </c>
      <c r="G35" s="12"/>
      <c r="H35" s="3"/>
      <c r="I35" s="12"/>
      <c r="J35" s="6"/>
      <c r="K35" s="12"/>
      <c r="L35" s="12"/>
      <c r="M35" s="11"/>
      <c r="N35" s="11"/>
      <c r="O35" s="11"/>
      <c r="P35" s="18"/>
      <c r="Q35" s="21"/>
      <c r="R35" s="26">
        <f>(Q36+Q37)/2</f>
        <v>1116.4050000000002</v>
      </c>
      <c r="S35" s="30">
        <f>1222.36</f>
        <v>1222.3599999999999</v>
      </c>
    </row>
    <row r="36" spans="3:19" ht="15.75" x14ac:dyDescent="0.25">
      <c r="C36" s="103" t="s">
        <v>13</v>
      </c>
      <c r="D36" s="104"/>
      <c r="E36" s="6"/>
      <c r="F36" s="3"/>
      <c r="G36" s="12">
        <v>88.68</v>
      </c>
      <c r="H36" s="3"/>
      <c r="I36" s="12">
        <v>335.93</v>
      </c>
      <c r="J36" s="6"/>
      <c r="K36" s="12">
        <v>165.32</v>
      </c>
      <c r="L36" s="12">
        <v>0</v>
      </c>
      <c r="M36" s="11">
        <v>188.37</v>
      </c>
      <c r="N36" s="11">
        <v>271.33</v>
      </c>
      <c r="O36" s="11">
        <v>95.8</v>
      </c>
      <c r="P36" s="18"/>
      <c r="Q36" s="20">
        <f>G36+I36+K36+L36+M36+N36+O36</f>
        <v>1145.43</v>
      </c>
      <c r="R36" s="3"/>
      <c r="S36" s="31"/>
    </row>
    <row r="37" spans="3:19" ht="15.75" x14ac:dyDescent="0.25">
      <c r="C37" s="97" t="s">
        <v>21</v>
      </c>
      <c r="D37" s="98"/>
      <c r="E37" s="3"/>
      <c r="F37" s="3"/>
      <c r="G37" s="12">
        <v>88.68</v>
      </c>
      <c r="H37" s="3"/>
      <c r="I37" s="12">
        <v>335.93</v>
      </c>
      <c r="J37" s="3"/>
      <c r="K37" s="12">
        <v>165.32</v>
      </c>
      <c r="L37" s="12">
        <v>0</v>
      </c>
      <c r="M37" s="12">
        <v>158.77000000000001</v>
      </c>
      <c r="N37" s="12">
        <v>242.88</v>
      </c>
      <c r="O37" s="11">
        <v>95.8</v>
      </c>
      <c r="P37" s="17"/>
      <c r="Q37" s="20">
        <f>G37+I37+K37+L37+M37+N37+O37</f>
        <v>1087.3800000000001</v>
      </c>
      <c r="R37" s="3"/>
      <c r="S37" s="31"/>
    </row>
    <row r="40" spans="3:19" x14ac:dyDescent="0.25">
      <c r="C40" t="s">
        <v>30</v>
      </c>
      <c r="N40" t="s">
        <v>31</v>
      </c>
    </row>
  </sheetData>
  <mergeCells count="25">
    <mergeCell ref="C37:D37"/>
    <mergeCell ref="C11:D12"/>
    <mergeCell ref="C18:D18"/>
    <mergeCell ref="C21:D21"/>
    <mergeCell ref="C24:D24"/>
    <mergeCell ref="C31:D31"/>
    <mergeCell ref="C34:D34"/>
    <mergeCell ref="C15:D15"/>
    <mergeCell ref="C17:D17"/>
    <mergeCell ref="C14:D14"/>
    <mergeCell ref="C20:D20"/>
    <mergeCell ref="C23:D23"/>
    <mergeCell ref="C30:D30"/>
    <mergeCell ref="C33:E33"/>
    <mergeCell ref="E11:E12"/>
    <mergeCell ref="C36:D36"/>
    <mergeCell ref="R11:R12"/>
    <mergeCell ref="S11:S12"/>
    <mergeCell ref="P11:Q12"/>
    <mergeCell ref="B6:R7"/>
    <mergeCell ref="F11:N11"/>
    <mergeCell ref="F12:G12"/>
    <mergeCell ref="H12:I12"/>
    <mergeCell ref="J12:K12"/>
    <mergeCell ref="O11:O12"/>
  </mergeCells>
  <pageMargins left="0" right="0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3"/>
  <sheetViews>
    <sheetView topLeftCell="B1" zoomScale="110" zoomScaleNormal="110" workbookViewId="0">
      <selection activeCell="D31" sqref="D31"/>
    </sheetView>
  </sheetViews>
  <sheetFormatPr defaultRowHeight="15" x14ac:dyDescent="0.25"/>
  <cols>
    <col min="1" max="1" width="9.140625" hidden="1" customWidth="1"/>
    <col min="4" max="4" width="10.28515625" customWidth="1"/>
    <col min="5" max="5" width="0.140625" customWidth="1"/>
    <col min="6" max="6" width="0.140625" hidden="1" customWidth="1"/>
    <col min="7" max="7" width="7.85546875" customWidth="1"/>
    <col min="8" max="8" width="7.28515625" hidden="1" customWidth="1"/>
    <col min="10" max="10" width="8" hidden="1" customWidth="1"/>
    <col min="14" max="15" width="10.85546875" customWidth="1"/>
    <col min="16" max="16" width="0" hidden="1" customWidth="1"/>
    <col min="17" max="17" width="16.42578125" customWidth="1"/>
    <col min="18" max="19" width="0" hidden="1" customWidth="1"/>
  </cols>
  <sheetData>
    <row r="1" spans="2:21" x14ac:dyDescent="0.25">
      <c r="M1" s="110" t="s">
        <v>42</v>
      </c>
      <c r="N1" s="110"/>
    </row>
    <row r="2" spans="2:21" x14ac:dyDescent="0.25">
      <c r="M2" s="110" t="s">
        <v>26</v>
      </c>
      <c r="N2" s="110"/>
    </row>
    <row r="3" spans="2:21" x14ac:dyDescent="0.25">
      <c r="M3" t="s">
        <v>33</v>
      </c>
    </row>
    <row r="4" spans="2:21" x14ac:dyDescent="0.25">
      <c r="M4" t="s">
        <v>28</v>
      </c>
    </row>
    <row r="5" spans="2:21" x14ac:dyDescent="0.25">
      <c r="M5" t="s">
        <v>34</v>
      </c>
    </row>
    <row r="6" spans="2:21" ht="15.7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21" ht="27.75" customHeight="1" x14ac:dyDescent="0.25">
      <c r="B7" s="88" t="s">
        <v>35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2:21" ht="9.75" customHeight="1" x14ac:dyDescent="0.2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2:21" x14ac:dyDescent="0.25">
      <c r="G9" s="111" t="s">
        <v>41</v>
      </c>
      <c r="H9" s="111"/>
      <c r="I9" s="111"/>
      <c r="J9" s="111"/>
      <c r="K9" s="111"/>
      <c r="L9" s="111"/>
      <c r="M9" s="111"/>
      <c r="N9" s="111"/>
    </row>
    <row r="10" spans="2:21" ht="15.75" x14ac:dyDescent="0.25">
      <c r="C10" t="s">
        <v>6</v>
      </c>
    </row>
    <row r="12" spans="2:21" ht="15" customHeight="1" x14ac:dyDescent="0.25">
      <c r="C12" s="99" t="s">
        <v>5</v>
      </c>
      <c r="D12" s="100"/>
      <c r="E12" s="109" t="s">
        <v>10</v>
      </c>
      <c r="F12" s="90" t="s">
        <v>1</v>
      </c>
      <c r="G12" s="90"/>
      <c r="H12" s="90"/>
      <c r="I12" s="90"/>
      <c r="J12" s="90"/>
      <c r="K12" s="90"/>
      <c r="L12" s="90"/>
      <c r="M12" s="90"/>
      <c r="N12" s="90"/>
      <c r="O12" s="95" t="s">
        <v>32</v>
      </c>
      <c r="P12" s="84" t="s">
        <v>22</v>
      </c>
      <c r="Q12" s="85"/>
      <c r="R12" s="80" t="s">
        <v>24</v>
      </c>
      <c r="S12" s="82" t="s">
        <v>25</v>
      </c>
    </row>
    <row r="13" spans="2:21" ht="35.25" customHeight="1" x14ac:dyDescent="0.25">
      <c r="C13" s="101"/>
      <c r="D13" s="102"/>
      <c r="E13" s="109"/>
      <c r="F13" s="91" t="s">
        <v>18</v>
      </c>
      <c r="G13" s="92"/>
      <c r="H13" s="93" t="s">
        <v>19</v>
      </c>
      <c r="I13" s="94"/>
      <c r="J13" s="93" t="s">
        <v>20</v>
      </c>
      <c r="K13" s="94"/>
      <c r="L13" s="23" t="s">
        <v>11</v>
      </c>
      <c r="M13" s="24" t="s">
        <v>8</v>
      </c>
      <c r="N13" s="25" t="s">
        <v>9</v>
      </c>
      <c r="O13" s="96"/>
      <c r="P13" s="86"/>
      <c r="Q13" s="87"/>
      <c r="R13" s="81"/>
      <c r="S13" s="83"/>
    </row>
    <row r="14" spans="2:21" x14ac:dyDescent="0.25">
      <c r="C14" s="4" t="s">
        <v>14</v>
      </c>
      <c r="D14" s="3"/>
      <c r="E14" s="9">
        <f>6.66*5.59*0.5</f>
        <v>18.614699999999999</v>
      </c>
      <c r="F14" s="6">
        <f>3.61*21.95*0.5</f>
        <v>39.619749999999996</v>
      </c>
      <c r="G14" s="6"/>
      <c r="H14" s="3"/>
      <c r="I14" s="11"/>
      <c r="J14" s="6"/>
      <c r="K14" s="11"/>
      <c r="L14" s="13"/>
      <c r="M14" s="6"/>
      <c r="N14" s="11"/>
      <c r="O14" s="11"/>
      <c r="P14" s="15">
        <f>F14+H14+J14+L14+M14+N14</f>
        <v>39.619749999999996</v>
      </c>
      <c r="Q14" s="14"/>
      <c r="R14" s="14">
        <f>(Q15+Q16)/2</f>
        <v>926.19999999999993</v>
      </c>
      <c r="S14" s="28">
        <f>810.92</f>
        <v>810.92</v>
      </c>
      <c r="U14" s="2"/>
    </row>
    <row r="15" spans="2:21" ht="15.75" x14ac:dyDescent="0.25">
      <c r="C15" s="103" t="s">
        <v>12</v>
      </c>
      <c r="D15" s="106"/>
      <c r="E15" s="9"/>
      <c r="F15" s="6"/>
      <c r="G15" s="11">
        <v>69.2</v>
      </c>
      <c r="H15" s="3"/>
      <c r="I15" s="11">
        <v>227.66</v>
      </c>
      <c r="J15" s="6"/>
      <c r="K15" s="11">
        <v>120.99</v>
      </c>
      <c r="L15" s="13">
        <v>48.68</v>
      </c>
      <c r="M15" s="11">
        <v>229.39</v>
      </c>
      <c r="N15" s="11">
        <v>176.3</v>
      </c>
      <c r="O15" s="11">
        <v>95.8</v>
      </c>
      <c r="P15" s="15"/>
      <c r="Q15" s="20">
        <f>G15+I15+K15+L15+M15+N15+O15</f>
        <v>968.02</v>
      </c>
      <c r="R15" s="12"/>
      <c r="S15" s="29"/>
      <c r="U15" s="2"/>
    </row>
    <row r="16" spans="2:21" ht="15.75" x14ac:dyDescent="0.25">
      <c r="C16" s="103" t="s">
        <v>13</v>
      </c>
      <c r="D16" s="104"/>
      <c r="E16" s="5"/>
      <c r="F16" s="5"/>
      <c r="G16" s="11">
        <v>69.2</v>
      </c>
      <c r="H16" s="3"/>
      <c r="I16" s="12">
        <v>227.66</v>
      </c>
      <c r="J16" s="3"/>
      <c r="K16" s="12">
        <v>120.99</v>
      </c>
      <c r="L16" s="19">
        <v>48.68</v>
      </c>
      <c r="M16" s="11">
        <v>178.85</v>
      </c>
      <c r="N16" s="11">
        <v>143.19999999999999</v>
      </c>
      <c r="O16" s="11">
        <v>95.8</v>
      </c>
      <c r="P16" s="15"/>
      <c r="Q16" s="20">
        <f>G16+I16+K16+L16+M16+N16+O16</f>
        <v>884.37999999999988</v>
      </c>
      <c r="R16" s="12"/>
      <c r="S16" s="29"/>
      <c r="U16" s="2"/>
    </row>
    <row r="17" spans="3:19" ht="15.75" x14ac:dyDescent="0.25">
      <c r="C17" s="4" t="s">
        <v>15</v>
      </c>
      <c r="D17" s="3"/>
      <c r="E17" s="6">
        <f>6.66*5.85*0.5</f>
        <v>19.480499999999999</v>
      </c>
      <c r="F17" s="3">
        <f>3.61*21.95*0.5</f>
        <v>39.619749999999996</v>
      </c>
      <c r="G17" s="11"/>
      <c r="H17" s="3"/>
      <c r="I17" s="11"/>
      <c r="J17" s="6"/>
      <c r="K17" s="11"/>
      <c r="L17" s="11"/>
      <c r="M17" s="11"/>
      <c r="N17" s="11"/>
      <c r="O17" s="11"/>
      <c r="P17" s="15"/>
      <c r="Q17" s="20"/>
      <c r="R17" s="27">
        <f>(Q18+Q19)/2</f>
        <v>917.08999999999992</v>
      </c>
      <c r="S17" s="28">
        <f>841.64</f>
        <v>841.64</v>
      </c>
    </row>
    <row r="18" spans="3:19" ht="15.75" x14ac:dyDescent="0.25">
      <c r="C18" s="103" t="s">
        <v>12</v>
      </c>
      <c r="D18" s="105"/>
      <c r="E18" s="6"/>
      <c r="F18" s="3"/>
      <c r="G18" s="11">
        <v>69.2</v>
      </c>
      <c r="H18" s="3"/>
      <c r="I18" s="11">
        <v>218.55</v>
      </c>
      <c r="J18" s="6"/>
      <c r="K18" s="11">
        <v>120.99</v>
      </c>
      <c r="L18" s="11">
        <v>48.68</v>
      </c>
      <c r="M18" s="11">
        <v>229.39</v>
      </c>
      <c r="N18" s="11">
        <v>176.3</v>
      </c>
      <c r="O18" s="11">
        <v>95.8</v>
      </c>
      <c r="P18" s="15"/>
      <c r="Q18" s="20">
        <f>G18+I18+K18+L18+M18+N18+O18</f>
        <v>958.90999999999985</v>
      </c>
      <c r="R18" s="12"/>
      <c r="S18" s="29"/>
    </row>
    <row r="19" spans="3:19" ht="15.75" x14ac:dyDescent="0.25">
      <c r="C19" s="97" t="s">
        <v>13</v>
      </c>
      <c r="D19" s="98"/>
      <c r="E19" s="5"/>
      <c r="F19" s="5"/>
      <c r="G19" s="11">
        <v>69.2</v>
      </c>
      <c r="H19" s="3"/>
      <c r="I19" s="12">
        <v>218.55</v>
      </c>
      <c r="J19" s="3"/>
      <c r="K19" s="12">
        <v>120.99</v>
      </c>
      <c r="L19" s="12">
        <v>48.68</v>
      </c>
      <c r="M19" s="12">
        <v>178.85</v>
      </c>
      <c r="N19" s="11">
        <v>143.19999999999999</v>
      </c>
      <c r="O19" s="11">
        <v>95.8</v>
      </c>
      <c r="P19" s="16"/>
      <c r="Q19" s="20">
        <f>G19+I19+K19+L19+M19+N19+O19</f>
        <v>875.27</v>
      </c>
      <c r="R19" s="12"/>
      <c r="S19" s="29"/>
    </row>
    <row r="20" spans="3:19" ht="15.75" x14ac:dyDescent="0.25">
      <c r="C20" s="4" t="s">
        <v>16</v>
      </c>
      <c r="D20" s="3"/>
      <c r="E20" s="6">
        <f>11.12*7.91*1</f>
        <v>87.959199999999996</v>
      </c>
      <c r="F20" s="3">
        <f>4.04*21.95*0.5</f>
        <v>44.338999999999999</v>
      </c>
      <c r="G20" s="11"/>
      <c r="H20" s="3"/>
      <c r="I20" s="11"/>
      <c r="J20" s="10"/>
      <c r="K20" s="11"/>
      <c r="L20" s="12"/>
      <c r="M20" s="11"/>
      <c r="N20" s="11"/>
      <c r="O20" s="11"/>
      <c r="P20" s="15"/>
      <c r="Q20" s="20"/>
      <c r="R20" s="14">
        <f>(Q21+Q22)/2</f>
        <v>1043.3399999999999</v>
      </c>
      <c r="S20" s="28">
        <f>(917.9+944.13)/2</f>
        <v>931.01499999999999</v>
      </c>
    </row>
    <row r="21" spans="3:19" ht="15" customHeight="1" x14ac:dyDescent="0.25">
      <c r="C21" s="103" t="s">
        <v>13</v>
      </c>
      <c r="D21" s="105"/>
      <c r="E21" s="6"/>
      <c r="F21" s="3"/>
      <c r="G21" s="11">
        <v>77.44</v>
      </c>
      <c r="H21" s="3"/>
      <c r="I21" s="11">
        <v>289.39</v>
      </c>
      <c r="J21" s="10"/>
      <c r="K21" s="11">
        <v>138.22</v>
      </c>
      <c r="L21" s="12">
        <v>0</v>
      </c>
      <c r="M21" s="11">
        <v>190.89</v>
      </c>
      <c r="N21" s="11">
        <v>281.35000000000002</v>
      </c>
      <c r="O21" s="11">
        <v>95.8</v>
      </c>
      <c r="P21" s="15"/>
      <c r="Q21" s="20">
        <f>G21+I21+K21+L21+M21+N21+O21</f>
        <v>1073.0899999999999</v>
      </c>
      <c r="R21" s="12"/>
      <c r="S21" s="29"/>
    </row>
    <row r="22" spans="3:19" ht="15.75" x14ac:dyDescent="0.25">
      <c r="C22" s="97" t="s">
        <v>21</v>
      </c>
      <c r="D22" s="98"/>
      <c r="E22" s="5"/>
      <c r="F22" s="3"/>
      <c r="G22" s="12">
        <v>77.44</v>
      </c>
      <c r="H22" s="3"/>
      <c r="I22" s="12">
        <v>289.39</v>
      </c>
      <c r="J22" s="3"/>
      <c r="K22" s="12">
        <v>138.22</v>
      </c>
      <c r="L22" s="12">
        <v>0</v>
      </c>
      <c r="M22" s="12">
        <v>160.88999999999999</v>
      </c>
      <c r="N22" s="12">
        <v>251.85</v>
      </c>
      <c r="O22" s="11">
        <v>95.8</v>
      </c>
      <c r="P22" s="16"/>
      <c r="Q22" s="20">
        <f>G22+I22+K22+L22+M22+N22+O22</f>
        <v>1013.5899999999999</v>
      </c>
      <c r="R22" s="12"/>
      <c r="S22" s="29"/>
    </row>
    <row r="23" spans="3:19" ht="15.75" x14ac:dyDescent="0.25">
      <c r="C23" s="4" t="s">
        <v>17</v>
      </c>
      <c r="D23" s="3"/>
      <c r="E23" s="6">
        <f>11.12*7.91*1</f>
        <v>87.959199999999996</v>
      </c>
      <c r="F23" s="3">
        <f>4.04*21.95*0.5</f>
        <v>44.338999999999999</v>
      </c>
      <c r="G23" s="11"/>
      <c r="H23" s="3"/>
      <c r="I23" s="11"/>
      <c r="J23" s="10"/>
      <c r="K23" s="11"/>
      <c r="L23" s="12"/>
      <c r="M23" s="11"/>
      <c r="N23" s="11"/>
      <c r="O23" s="11"/>
      <c r="P23" s="15"/>
      <c r="Q23" s="20"/>
      <c r="R23" s="14">
        <f>(Q24+Q25)/2</f>
        <v>1032.6200000000001</v>
      </c>
      <c r="S23" s="28">
        <f>1091.27</f>
        <v>1091.27</v>
      </c>
    </row>
    <row r="24" spans="3:19" ht="15" customHeight="1" x14ac:dyDescent="0.25">
      <c r="C24" s="103" t="s">
        <v>13</v>
      </c>
      <c r="D24" s="105"/>
      <c r="E24" s="6"/>
      <c r="F24" s="3"/>
      <c r="G24" s="11">
        <v>77.44</v>
      </c>
      <c r="H24" s="3"/>
      <c r="I24" s="11">
        <v>278.67</v>
      </c>
      <c r="J24" s="10"/>
      <c r="K24" s="11">
        <v>138.22</v>
      </c>
      <c r="L24" s="12">
        <v>0</v>
      </c>
      <c r="M24" s="11">
        <v>190.89</v>
      </c>
      <c r="N24" s="11">
        <v>281.35000000000002</v>
      </c>
      <c r="O24" s="11">
        <v>95.8</v>
      </c>
      <c r="P24" s="15"/>
      <c r="Q24" s="20">
        <f>G24+I24+K24+L24+M24+N24+O24</f>
        <v>1062.3700000000001</v>
      </c>
      <c r="R24" s="12"/>
      <c r="S24" s="29"/>
    </row>
    <row r="25" spans="3:19" ht="15.75" x14ac:dyDescent="0.25">
      <c r="C25" s="97" t="s">
        <v>21</v>
      </c>
      <c r="D25" s="98"/>
      <c r="E25" s="5"/>
      <c r="F25" s="3"/>
      <c r="G25" s="12">
        <v>77.44</v>
      </c>
      <c r="H25" s="3"/>
      <c r="I25" s="12">
        <v>278.67</v>
      </c>
      <c r="J25" s="3"/>
      <c r="K25" s="12">
        <v>138.22</v>
      </c>
      <c r="L25" s="12">
        <v>0</v>
      </c>
      <c r="M25" s="12">
        <v>160.88999999999999</v>
      </c>
      <c r="N25" s="12">
        <v>251.85</v>
      </c>
      <c r="O25" s="11">
        <v>95.8</v>
      </c>
      <c r="P25" s="16"/>
      <c r="Q25" s="20">
        <f>G25+I25+L25+K25+M25+N25+O25</f>
        <v>1002.87</v>
      </c>
      <c r="R25" s="12"/>
      <c r="S25" s="29"/>
    </row>
    <row r="26" spans="3:19" x14ac:dyDescent="0.25">
      <c r="P26" s="7"/>
    </row>
    <row r="27" spans="3:19" ht="15.75" x14ac:dyDescent="0.25">
      <c r="C27" t="s">
        <v>7</v>
      </c>
      <c r="P27" s="7"/>
    </row>
    <row r="28" spans="3:19" ht="15.75" x14ac:dyDescent="0.25">
      <c r="C28" s="8" t="s">
        <v>0</v>
      </c>
      <c r="N28" s="22"/>
      <c r="O28" s="22"/>
      <c r="P28" s="7"/>
      <c r="Q28" s="22"/>
    </row>
    <row r="29" spans="3:19" ht="15.75" x14ac:dyDescent="0.25">
      <c r="C29" s="99" t="s">
        <v>5</v>
      </c>
      <c r="D29" s="100"/>
      <c r="E29" s="109" t="s">
        <v>10</v>
      </c>
      <c r="F29" s="90" t="s">
        <v>1</v>
      </c>
      <c r="G29" s="90"/>
      <c r="H29" s="90"/>
      <c r="I29" s="90"/>
      <c r="J29" s="90"/>
      <c r="K29" s="90"/>
      <c r="L29" s="90"/>
      <c r="M29" s="90"/>
      <c r="N29" s="90"/>
      <c r="O29" s="95" t="s">
        <v>32</v>
      </c>
      <c r="P29" s="84" t="s">
        <v>22</v>
      </c>
      <c r="Q29" s="85"/>
    </row>
    <row r="30" spans="3:19" ht="37.5" customHeight="1" x14ac:dyDescent="0.25">
      <c r="C30" s="101"/>
      <c r="D30" s="102"/>
      <c r="E30" s="109"/>
      <c r="F30" s="91" t="s">
        <v>37</v>
      </c>
      <c r="G30" s="92"/>
      <c r="H30" s="93" t="s">
        <v>38</v>
      </c>
      <c r="I30" s="94"/>
      <c r="J30" s="93" t="s">
        <v>39</v>
      </c>
      <c r="K30" s="94"/>
      <c r="L30" s="23" t="s">
        <v>40</v>
      </c>
      <c r="M30" s="24" t="s">
        <v>8</v>
      </c>
      <c r="N30" s="25" t="s">
        <v>9</v>
      </c>
      <c r="O30" s="96"/>
      <c r="P30" s="86"/>
      <c r="Q30" s="87"/>
    </row>
    <row r="31" spans="3:19" hidden="1" x14ac:dyDescent="0.25">
      <c r="F31">
        <v>1</v>
      </c>
      <c r="G31">
        <v>1</v>
      </c>
      <c r="H31">
        <v>1</v>
      </c>
      <c r="I31" s="22">
        <v>1</v>
      </c>
      <c r="J31">
        <v>1</v>
      </c>
      <c r="K31" s="22">
        <v>1</v>
      </c>
      <c r="L31" s="22">
        <v>1</v>
      </c>
      <c r="M31" s="22">
        <v>0.9</v>
      </c>
      <c r="N31" s="22">
        <v>0.5</v>
      </c>
      <c r="O31" s="22"/>
      <c r="P31" s="7"/>
      <c r="Q31" s="22"/>
    </row>
    <row r="32" spans="3:19" ht="15.75" x14ac:dyDescent="0.25">
      <c r="C32" s="4" t="s">
        <v>2</v>
      </c>
      <c r="D32" s="3"/>
      <c r="E32" s="3">
        <v>19.48</v>
      </c>
      <c r="F32" s="3">
        <f>3.61*21.95*1</f>
        <v>79.239499999999992</v>
      </c>
      <c r="G32" s="12"/>
      <c r="H32" s="3">
        <f>2.43*108.42*1</f>
        <v>263.4606</v>
      </c>
      <c r="I32" s="12"/>
      <c r="J32" s="6">
        <f>6.04*23.96*1</f>
        <v>144.7184</v>
      </c>
      <c r="K32" s="12"/>
      <c r="L32" s="11"/>
      <c r="M32" s="11"/>
      <c r="N32" s="11"/>
      <c r="O32" s="11"/>
      <c r="P32" s="15">
        <f>E32+F32+H32+J32+L32+M32+N32</f>
        <v>506.89850000000001</v>
      </c>
      <c r="Q32" s="21"/>
      <c r="R32" s="26">
        <f>(Q33+Q34)/2</f>
        <v>1067.9499999999998</v>
      </c>
      <c r="S32" s="30">
        <f>1002.71</f>
        <v>1002.71</v>
      </c>
    </row>
    <row r="33" spans="3:19" ht="15" customHeight="1" x14ac:dyDescent="0.25">
      <c r="C33" s="103" t="s">
        <v>12</v>
      </c>
      <c r="D33" s="106"/>
      <c r="E33" s="3"/>
      <c r="F33" s="3"/>
      <c r="G33" s="11">
        <v>86.5</v>
      </c>
      <c r="H33" s="3"/>
      <c r="I33" s="12">
        <v>273.19</v>
      </c>
      <c r="J33" s="6"/>
      <c r="K33" s="12">
        <v>151.24</v>
      </c>
      <c r="L33" s="11">
        <v>97.35</v>
      </c>
      <c r="M33" s="11">
        <v>229.39</v>
      </c>
      <c r="N33" s="11">
        <v>176.3</v>
      </c>
      <c r="O33" s="11">
        <v>95.8</v>
      </c>
      <c r="P33" s="15"/>
      <c r="Q33" s="20">
        <f>G33+I33+K33+L33+M33+N33+O33</f>
        <v>1109.77</v>
      </c>
      <c r="R33" s="3"/>
      <c r="S33" s="31"/>
    </row>
    <row r="34" spans="3:19" ht="15.75" x14ac:dyDescent="0.25">
      <c r="C34" s="97" t="s">
        <v>13</v>
      </c>
      <c r="D34" s="98"/>
      <c r="E34" s="3"/>
      <c r="F34" s="3"/>
      <c r="G34" s="11">
        <v>86.5</v>
      </c>
      <c r="H34" s="3"/>
      <c r="I34" s="12">
        <v>273.19</v>
      </c>
      <c r="J34" s="3"/>
      <c r="K34" s="12">
        <v>151.24</v>
      </c>
      <c r="L34" s="12">
        <v>97.35</v>
      </c>
      <c r="M34" s="12">
        <v>178.85</v>
      </c>
      <c r="N34" s="11">
        <v>143.19999999999999</v>
      </c>
      <c r="O34" s="11">
        <v>95.8</v>
      </c>
      <c r="P34" s="17"/>
      <c r="Q34" s="20">
        <f>G34+I34+K34+L34+M34+N34+O34</f>
        <v>1026.1299999999999</v>
      </c>
      <c r="R34" s="3"/>
      <c r="S34" s="31"/>
    </row>
    <row r="35" spans="3:19" ht="15.75" x14ac:dyDescent="0.25">
      <c r="C35" s="4" t="s">
        <v>3</v>
      </c>
      <c r="D35" s="3"/>
      <c r="E35" s="6">
        <f>11.12*7.91*1</f>
        <v>87.959199999999996</v>
      </c>
      <c r="F35" s="3">
        <f>4.04*21.95*1</f>
        <v>88.677999999999997</v>
      </c>
      <c r="G35" s="12"/>
      <c r="H35" s="3"/>
      <c r="I35" s="12"/>
      <c r="J35" s="6"/>
      <c r="K35" s="12"/>
      <c r="L35" s="12"/>
      <c r="M35" s="11"/>
      <c r="N35" s="11"/>
      <c r="O35" s="11"/>
      <c r="P35" s="18"/>
      <c r="Q35" s="21"/>
      <c r="R35" s="26">
        <f>(Q36+Q37)/2</f>
        <v>1169.6099999999999</v>
      </c>
      <c r="S35" s="30">
        <f>(1058.44+1080.04)/2</f>
        <v>1069.24</v>
      </c>
    </row>
    <row r="36" spans="3:19" ht="15" customHeight="1" x14ac:dyDescent="0.25">
      <c r="C36" s="103" t="s">
        <v>13</v>
      </c>
      <c r="D36" s="107"/>
      <c r="E36" s="108"/>
      <c r="F36" s="3"/>
      <c r="G36" s="11">
        <v>96.8</v>
      </c>
      <c r="H36" s="3"/>
      <c r="I36" s="12">
        <v>361.74</v>
      </c>
      <c r="J36" s="6"/>
      <c r="K36" s="12">
        <v>172.78</v>
      </c>
      <c r="L36" s="12">
        <v>0</v>
      </c>
      <c r="M36" s="11">
        <v>190.89</v>
      </c>
      <c r="N36" s="11">
        <v>281.35000000000002</v>
      </c>
      <c r="O36" s="11">
        <v>95.8</v>
      </c>
      <c r="P36" s="18"/>
      <c r="Q36" s="20">
        <f>G36+I36+K36+L36+M36+N36+O36</f>
        <v>1199.3599999999999</v>
      </c>
      <c r="R36" s="3"/>
      <c r="S36" s="31"/>
    </row>
    <row r="37" spans="3:19" ht="15.75" x14ac:dyDescent="0.25">
      <c r="C37" s="97" t="s">
        <v>21</v>
      </c>
      <c r="D37" s="98"/>
      <c r="E37" s="3"/>
      <c r="F37" s="3"/>
      <c r="G37" s="11">
        <v>96.8</v>
      </c>
      <c r="H37" s="3"/>
      <c r="I37" s="12">
        <v>361.74</v>
      </c>
      <c r="J37" s="3"/>
      <c r="K37" s="12">
        <v>172.78</v>
      </c>
      <c r="L37" s="12">
        <v>0</v>
      </c>
      <c r="M37" s="12">
        <v>160.88999999999999</v>
      </c>
      <c r="N37" s="12">
        <v>251.85</v>
      </c>
      <c r="O37" s="11">
        <v>95.8</v>
      </c>
      <c r="P37" s="17"/>
      <c r="Q37" s="20">
        <f>G37+I37+K37+L37+M37+N37+O37</f>
        <v>1139.8599999999999</v>
      </c>
      <c r="R37" s="3"/>
      <c r="S37" s="31"/>
    </row>
    <row r="38" spans="3:19" ht="15.75" x14ac:dyDescent="0.25">
      <c r="C38" s="4" t="s">
        <v>4</v>
      </c>
      <c r="D38" s="3"/>
      <c r="E38" s="6">
        <f>11.12*7.91*1</f>
        <v>87.959199999999996</v>
      </c>
      <c r="F38" s="3">
        <f>4.04*21.95*1</f>
        <v>88.677999999999997</v>
      </c>
      <c r="G38" s="12"/>
      <c r="H38" s="3"/>
      <c r="I38" s="12"/>
      <c r="J38" s="6"/>
      <c r="K38" s="12"/>
      <c r="L38" s="12"/>
      <c r="M38" s="11"/>
      <c r="N38" s="11"/>
      <c r="O38" s="11"/>
      <c r="P38" s="18"/>
      <c r="Q38" s="21"/>
      <c r="R38" s="26">
        <f>(Q39+Q40)/2</f>
        <v>1156.2099999999998</v>
      </c>
      <c r="S38" s="30">
        <f>1222.36</f>
        <v>1222.3599999999999</v>
      </c>
    </row>
    <row r="39" spans="3:19" ht="15.75" x14ac:dyDescent="0.25">
      <c r="C39" s="103" t="s">
        <v>13</v>
      </c>
      <c r="D39" s="104"/>
      <c r="E39" s="6"/>
      <c r="F39" s="3"/>
      <c r="G39" s="11">
        <v>96.8</v>
      </c>
      <c r="H39" s="3"/>
      <c r="I39" s="12">
        <v>348.34</v>
      </c>
      <c r="J39" s="6"/>
      <c r="K39" s="12">
        <v>172.78</v>
      </c>
      <c r="L39" s="12">
        <v>0</v>
      </c>
      <c r="M39" s="11">
        <v>190.89</v>
      </c>
      <c r="N39" s="11">
        <v>281.35000000000002</v>
      </c>
      <c r="O39" s="11">
        <v>95.8</v>
      </c>
      <c r="P39" s="18"/>
      <c r="Q39" s="20">
        <f>G39+I39+K39+L39+M39+N39+O39</f>
        <v>1185.9599999999998</v>
      </c>
      <c r="R39" s="3"/>
      <c r="S39" s="31"/>
    </row>
    <row r="40" spans="3:19" ht="15.75" x14ac:dyDescent="0.25">
      <c r="C40" s="97" t="s">
        <v>21</v>
      </c>
      <c r="D40" s="98"/>
      <c r="E40" s="3"/>
      <c r="F40" s="3"/>
      <c r="G40" s="11">
        <v>96.8</v>
      </c>
      <c r="H40" s="3"/>
      <c r="I40" s="12">
        <v>348.34</v>
      </c>
      <c r="J40" s="3"/>
      <c r="K40" s="12">
        <v>172.78</v>
      </c>
      <c r="L40" s="12">
        <v>0</v>
      </c>
      <c r="M40" s="12">
        <v>160.88999999999999</v>
      </c>
      <c r="N40" s="12">
        <v>251.85</v>
      </c>
      <c r="O40" s="11">
        <v>95.8</v>
      </c>
      <c r="P40" s="17"/>
      <c r="Q40" s="20">
        <f>G40+I40+K40+L40+M40+N40+O40</f>
        <v>1126.4599999999998</v>
      </c>
      <c r="R40" s="3"/>
      <c r="S40" s="31"/>
    </row>
    <row r="43" spans="3:19" x14ac:dyDescent="0.25">
      <c r="C43" t="s">
        <v>30</v>
      </c>
      <c r="N43" t="s">
        <v>36</v>
      </c>
    </row>
  </sheetData>
  <mergeCells count="36">
    <mergeCell ref="M2:N2"/>
    <mergeCell ref="M1:N1"/>
    <mergeCell ref="C29:D30"/>
    <mergeCell ref="E29:E30"/>
    <mergeCell ref="F29:N29"/>
    <mergeCell ref="C16:D16"/>
    <mergeCell ref="B7:R8"/>
    <mergeCell ref="G9:N9"/>
    <mergeCell ref="O29:O30"/>
    <mergeCell ref="P29:Q30"/>
    <mergeCell ref="F30:G30"/>
    <mergeCell ref="H30:I30"/>
    <mergeCell ref="J30:K30"/>
    <mergeCell ref="C40:D40"/>
    <mergeCell ref="C18:D18"/>
    <mergeCell ref="C19:D19"/>
    <mergeCell ref="C21:D21"/>
    <mergeCell ref="C22:D22"/>
    <mergeCell ref="C24:D24"/>
    <mergeCell ref="C25:D25"/>
    <mergeCell ref="C33:D33"/>
    <mergeCell ref="C34:D34"/>
    <mergeCell ref="C36:E36"/>
    <mergeCell ref="C37:D37"/>
    <mergeCell ref="C39:D39"/>
    <mergeCell ref="S12:S13"/>
    <mergeCell ref="F13:G13"/>
    <mergeCell ref="H13:I13"/>
    <mergeCell ref="J13:K13"/>
    <mergeCell ref="C15:D15"/>
    <mergeCell ref="C12:D13"/>
    <mergeCell ref="E12:E13"/>
    <mergeCell ref="F12:N12"/>
    <mergeCell ref="O12:O13"/>
    <mergeCell ref="P12:Q13"/>
    <mergeCell ref="R12:R13"/>
  </mergeCells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B1" zoomScale="110" zoomScaleNormal="110" workbookViewId="0">
      <selection activeCell="S15" sqref="S15"/>
    </sheetView>
  </sheetViews>
  <sheetFormatPr defaultRowHeight="15" x14ac:dyDescent="0.25"/>
  <cols>
    <col min="1" max="1" width="9.140625" style="34" hidden="1" customWidth="1"/>
    <col min="2" max="4" width="9.140625" style="34" customWidth="1"/>
    <col min="5" max="5" width="9.140625" style="34"/>
    <col min="6" max="6" width="18.5703125" style="34" customWidth="1"/>
    <col min="7" max="8" width="2.140625" style="34" hidden="1" customWidth="1"/>
    <col min="9" max="9" width="7.85546875" style="34" customWidth="1"/>
    <col min="10" max="10" width="7.28515625" style="34" hidden="1" customWidth="1"/>
    <col min="11" max="11" width="9.140625" style="34"/>
    <col min="12" max="12" width="8" style="34" hidden="1" customWidth="1"/>
    <col min="13" max="15" width="9.140625" style="34"/>
    <col min="16" max="16" width="8.42578125" style="34" customWidth="1"/>
    <col min="17" max="17" width="10.85546875" style="34" customWidth="1"/>
    <col min="18" max="18" width="0" style="34" hidden="1" customWidth="1"/>
    <col min="19" max="19" width="16.42578125" style="34" customWidth="1"/>
    <col min="20" max="21" width="0" style="34" hidden="1" customWidth="1"/>
    <col min="22" max="22" width="9.7109375" style="35" bestFit="1" customWidth="1"/>
    <col min="23" max="16384" width="9.140625" style="34"/>
  </cols>
  <sheetData>
    <row r="1" spans="5:23" ht="15.75" x14ac:dyDescent="0.25">
      <c r="O1" s="75" t="s">
        <v>49</v>
      </c>
      <c r="P1" s="75"/>
      <c r="Q1" s="75"/>
      <c r="R1" s="75"/>
      <c r="S1" s="75"/>
    </row>
    <row r="2" spans="5:23" hidden="1" x14ac:dyDescent="0.25">
      <c r="O2" s="76" t="s">
        <v>26</v>
      </c>
      <c r="P2" s="76"/>
    </row>
    <row r="3" spans="5:23" ht="60" hidden="1" x14ac:dyDescent="0.25">
      <c r="O3" s="34" t="s">
        <v>33</v>
      </c>
    </row>
    <row r="4" spans="5:23" ht="45" hidden="1" x14ac:dyDescent="0.25">
      <c r="O4" s="34" t="s">
        <v>28</v>
      </c>
    </row>
    <row r="5" spans="5:23" ht="60" hidden="1" x14ac:dyDescent="0.25">
      <c r="O5" s="34" t="s">
        <v>34</v>
      </c>
    </row>
    <row r="6" spans="5:23" ht="15.75" x14ac:dyDescent="0.25">
      <c r="F6" s="36"/>
      <c r="G6" s="36"/>
      <c r="H6" s="36"/>
      <c r="I6" s="36"/>
      <c r="J6" s="36"/>
      <c r="K6" s="75" t="s">
        <v>51</v>
      </c>
      <c r="L6" s="75"/>
      <c r="M6" s="75"/>
      <c r="N6" s="75"/>
      <c r="O6" s="75"/>
      <c r="P6" s="75"/>
      <c r="Q6" s="75"/>
      <c r="R6" s="75"/>
      <c r="S6" s="75"/>
    </row>
    <row r="7" spans="5:23" ht="15.75" x14ac:dyDescent="0.25">
      <c r="F7" s="36"/>
      <c r="G7" s="36"/>
      <c r="H7" s="36"/>
      <c r="I7" s="36"/>
      <c r="J7" s="36"/>
      <c r="K7" s="37"/>
      <c r="L7" s="37"/>
      <c r="M7" s="37"/>
      <c r="N7" s="75" t="s">
        <v>52</v>
      </c>
      <c r="O7" s="75"/>
      <c r="P7" s="75"/>
      <c r="Q7" s="75"/>
      <c r="R7" s="75"/>
      <c r="S7" s="75"/>
    </row>
    <row r="8" spans="5:23" ht="33" customHeight="1" x14ac:dyDescent="0.25">
      <c r="E8" s="36"/>
      <c r="F8" s="134" t="s">
        <v>56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36"/>
    </row>
    <row r="9" spans="5:23" x14ac:dyDescent="0.25">
      <c r="I9" s="135" t="s">
        <v>41</v>
      </c>
      <c r="J9" s="135"/>
      <c r="K9" s="135"/>
      <c r="L9" s="135"/>
      <c r="M9" s="135"/>
      <c r="N9" s="135"/>
      <c r="O9" s="135"/>
      <c r="P9" s="135"/>
    </row>
    <row r="10" spans="5:23" x14ac:dyDescent="0.25">
      <c r="F10" s="113" t="s">
        <v>59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5:23" ht="4.5" customHeight="1" x14ac:dyDescent="0.25"/>
    <row r="12" spans="5:23" ht="15" customHeight="1" x14ac:dyDescent="0.25">
      <c r="F12" s="115" t="s">
        <v>5</v>
      </c>
      <c r="G12" s="116" t="s">
        <v>50</v>
      </c>
      <c r="H12" s="118" t="s">
        <v>1</v>
      </c>
      <c r="I12" s="118"/>
      <c r="J12" s="118"/>
      <c r="K12" s="118"/>
      <c r="L12" s="118"/>
      <c r="M12" s="118"/>
      <c r="N12" s="118"/>
      <c r="O12" s="118"/>
      <c r="P12" s="118"/>
      <c r="Q12" s="119" t="s">
        <v>70</v>
      </c>
      <c r="R12" s="121" t="s">
        <v>71</v>
      </c>
      <c r="S12" s="122"/>
      <c r="T12" s="129" t="s">
        <v>24</v>
      </c>
      <c r="U12" s="131" t="s">
        <v>25</v>
      </c>
    </row>
    <row r="13" spans="5:23" ht="35.25" customHeight="1" x14ac:dyDescent="0.25">
      <c r="F13" s="115"/>
      <c r="G13" s="116"/>
      <c r="H13" s="133" t="s">
        <v>18</v>
      </c>
      <c r="I13" s="126"/>
      <c r="J13" s="127" t="s">
        <v>58</v>
      </c>
      <c r="K13" s="128"/>
      <c r="L13" s="127" t="s">
        <v>64</v>
      </c>
      <c r="M13" s="128"/>
      <c r="N13" s="33" t="s">
        <v>65</v>
      </c>
      <c r="O13" s="33" t="s">
        <v>66</v>
      </c>
      <c r="P13" s="33" t="s">
        <v>9</v>
      </c>
      <c r="Q13" s="120"/>
      <c r="R13" s="123"/>
      <c r="S13" s="124"/>
      <c r="T13" s="130"/>
      <c r="U13" s="132"/>
    </row>
    <row r="14" spans="5:23" ht="14.45" customHeight="1" x14ac:dyDescent="0.25">
      <c r="F14" s="38" t="s">
        <v>14</v>
      </c>
      <c r="G14" s="40">
        <f>6.66*5.59*0.5</f>
        <v>18.614699999999999</v>
      </c>
      <c r="H14" s="40">
        <f>3.61*21.95*0.5</f>
        <v>39.619749999999996</v>
      </c>
      <c r="I14" s="40"/>
      <c r="J14" s="39"/>
      <c r="K14" s="41"/>
      <c r="L14" s="40"/>
      <c r="M14" s="41"/>
      <c r="N14" s="41"/>
      <c r="O14" s="40"/>
      <c r="P14" s="41"/>
      <c r="Q14" s="41"/>
      <c r="R14" s="42">
        <f>H14+J14+L14+N14+O14+P14</f>
        <v>39.619749999999996</v>
      </c>
      <c r="S14" s="43"/>
      <c r="T14" s="43">
        <f>(S15+S16)/2</f>
        <v>1029.7750000000001</v>
      </c>
      <c r="U14" s="44">
        <f>810.92</f>
        <v>810.92</v>
      </c>
      <c r="W14" s="45"/>
    </row>
    <row r="15" spans="5:23" ht="14.45" customHeight="1" x14ac:dyDescent="0.25">
      <c r="F15" s="64" t="s">
        <v>12</v>
      </c>
      <c r="G15" s="40"/>
      <c r="H15" s="40"/>
      <c r="I15" s="46">
        <v>71</v>
      </c>
      <c r="J15" s="47"/>
      <c r="K15" s="46">
        <v>261</v>
      </c>
      <c r="L15" s="47"/>
      <c r="M15" s="46">
        <v>137</v>
      </c>
      <c r="N15" s="46">
        <v>54</v>
      </c>
      <c r="O15" s="46">
        <v>254</v>
      </c>
      <c r="P15" s="46">
        <v>202</v>
      </c>
      <c r="Q15" s="46">
        <v>95.8</v>
      </c>
      <c r="R15" s="48"/>
      <c r="S15" s="49">
        <f>I15+K15+M15+N15+O15+P15+Q15+1.99</f>
        <v>1076.79</v>
      </c>
      <c r="T15" s="50"/>
      <c r="U15" s="51"/>
      <c r="V15" s="35">
        <f>66+237+126+50+234+96+184</f>
        <v>993</v>
      </c>
      <c r="W15" s="45"/>
    </row>
    <row r="16" spans="5:23" ht="14.45" customHeight="1" x14ac:dyDescent="0.25">
      <c r="F16" s="64" t="s">
        <v>13</v>
      </c>
      <c r="G16" s="52"/>
      <c r="H16" s="52"/>
      <c r="I16" s="46">
        <f>I15</f>
        <v>71</v>
      </c>
      <c r="J16" s="46">
        <f t="shared" ref="J16:N16" si="0">J15</f>
        <v>0</v>
      </c>
      <c r="K16" s="46">
        <f t="shared" si="0"/>
        <v>261</v>
      </c>
      <c r="L16" s="46">
        <f t="shared" si="0"/>
        <v>0</v>
      </c>
      <c r="M16" s="46">
        <f t="shared" si="0"/>
        <v>137</v>
      </c>
      <c r="N16" s="46">
        <f t="shared" si="0"/>
        <v>54</v>
      </c>
      <c r="O16" s="46">
        <v>199</v>
      </c>
      <c r="P16" s="46">
        <v>164</v>
      </c>
      <c r="Q16" s="46">
        <v>95.8</v>
      </c>
      <c r="R16" s="48"/>
      <c r="S16" s="49">
        <f>I16+K16+M16+N16+O16+P16+Q16+0.96</f>
        <v>982.76</v>
      </c>
      <c r="T16" s="50"/>
      <c r="U16" s="51"/>
      <c r="V16" s="35">
        <f>66+237+126+50+182+96+149</f>
        <v>906</v>
      </c>
      <c r="W16" s="45"/>
    </row>
    <row r="17" spans="6:22" ht="14.45" customHeight="1" x14ac:dyDescent="0.25">
      <c r="F17" s="38" t="s">
        <v>63</v>
      </c>
      <c r="G17" s="40">
        <f>6.66*5.85*0.5</f>
        <v>19.480499999999999</v>
      </c>
      <c r="H17" s="39">
        <f>3.61*21.95*0.5</f>
        <v>39.619749999999996</v>
      </c>
      <c r="I17" s="46"/>
      <c r="J17" s="47"/>
      <c r="K17" s="46"/>
      <c r="L17" s="47"/>
      <c r="M17" s="46"/>
      <c r="N17" s="46"/>
      <c r="O17" s="46"/>
      <c r="P17" s="46"/>
      <c r="Q17" s="46"/>
      <c r="R17" s="48"/>
      <c r="S17" s="49"/>
      <c r="T17" s="53">
        <f>(S18+S19)/2</f>
        <v>1019.765</v>
      </c>
      <c r="U17" s="44">
        <f>841.64</f>
        <v>841.64</v>
      </c>
    </row>
    <row r="18" spans="6:22" ht="14.45" customHeight="1" x14ac:dyDescent="0.25">
      <c r="F18" s="64" t="s">
        <v>12</v>
      </c>
      <c r="G18" s="40"/>
      <c r="H18" s="39"/>
      <c r="I18" s="46">
        <v>71</v>
      </c>
      <c r="J18" s="47"/>
      <c r="K18" s="46">
        <v>251</v>
      </c>
      <c r="L18" s="47"/>
      <c r="M18" s="46">
        <v>137</v>
      </c>
      <c r="N18" s="46">
        <v>54</v>
      </c>
      <c r="O18" s="46">
        <v>254</v>
      </c>
      <c r="P18" s="46">
        <v>202</v>
      </c>
      <c r="Q18" s="46">
        <v>95.8</v>
      </c>
      <c r="R18" s="48"/>
      <c r="S18" s="49">
        <f>I18+K18+M18+N18+O18+P18+Q18+2.48</f>
        <v>1067.28</v>
      </c>
      <c r="T18" s="50"/>
      <c r="U18" s="51"/>
      <c r="V18" s="35">
        <f>66+228+126+50+234+96+184</f>
        <v>984</v>
      </c>
    </row>
    <row r="19" spans="6:22" ht="14.45" customHeight="1" x14ac:dyDescent="0.25">
      <c r="F19" s="64" t="s">
        <v>13</v>
      </c>
      <c r="G19" s="52"/>
      <c r="H19" s="52"/>
      <c r="I19" s="46">
        <f>I18</f>
        <v>71</v>
      </c>
      <c r="J19" s="46">
        <f t="shared" ref="J19:N19" si="1">J18</f>
        <v>0</v>
      </c>
      <c r="K19" s="46">
        <f t="shared" si="1"/>
        <v>251</v>
      </c>
      <c r="L19" s="46">
        <f t="shared" si="1"/>
        <v>0</v>
      </c>
      <c r="M19" s="46">
        <f t="shared" si="1"/>
        <v>137</v>
      </c>
      <c r="N19" s="46">
        <f t="shared" si="1"/>
        <v>54</v>
      </c>
      <c r="O19" s="46">
        <v>198</v>
      </c>
      <c r="P19" s="46">
        <v>164</v>
      </c>
      <c r="Q19" s="46">
        <v>95.8</v>
      </c>
      <c r="R19" s="54"/>
      <c r="S19" s="49">
        <f>I19+K19+M19+N19+O19+P19+Q19+1.45</f>
        <v>972.25</v>
      </c>
      <c r="T19" s="50"/>
      <c r="U19" s="51"/>
      <c r="V19" s="35">
        <f>66+228+126+50+182+96+149</f>
        <v>897</v>
      </c>
    </row>
    <row r="20" spans="6:22" ht="14.45" customHeight="1" x14ac:dyDescent="0.25">
      <c r="F20" s="38" t="s">
        <v>61</v>
      </c>
      <c r="G20" s="40">
        <f>11.12*7.91*1</f>
        <v>87.959199999999996</v>
      </c>
      <c r="H20" s="39">
        <f>4.04*21.95*0.5</f>
        <v>44.338999999999999</v>
      </c>
      <c r="I20" s="46"/>
      <c r="J20" s="47"/>
      <c r="K20" s="46"/>
      <c r="L20" s="47"/>
      <c r="M20" s="46"/>
      <c r="N20" s="46"/>
      <c r="O20" s="46"/>
      <c r="P20" s="46"/>
      <c r="Q20" s="46"/>
      <c r="R20" s="48"/>
      <c r="S20" s="49"/>
      <c r="T20" s="43">
        <f>(S21+S22)/2</f>
        <v>1164.075</v>
      </c>
      <c r="U20" s="44">
        <f>(917.9+944.13)/2</f>
        <v>931.01499999999999</v>
      </c>
    </row>
    <row r="21" spans="6:22" ht="14.45" customHeight="1" x14ac:dyDescent="0.25">
      <c r="F21" s="64" t="s">
        <v>13</v>
      </c>
      <c r="G21" s="40"/>
      <c r="H21" s="39"/>
      <c r="I21" s="46">
        <v>80</v>
      </c>
      <c r="J21" s="47"/>
      <c r="K21" s="46">
        <v>332</v>
      </c>
      <c r="L21" s="47"/>
      <c r="M21" s="46">
        <v>156</v>
      </c>
      <c r="N21" s="46">
        <v>0</v>
      </c>
      <c r="O21" s="46">
        <v>212</v>
      </c>
      <c r="P21" s="46">
        <v>322</v>
      </c>
      <c r="Q21" s="46">
        <v>95.8</v>
      </c>
      <c r="R21" s="48"/>
      <c r="S21" s="49">
        <f>I21+K21+M21+N21+O21+P21+Q21-0.34</f>
        <v>1197.46</v>
      </c>
      <c r="T21" s="50"/>
      <c r="U21" s="51"/>
      <c r="V21" s="55">
        <f>73+302+143+194+96+293</f>
        <v>1101</v>
      </c>
    </row>
    <row r="22" spans="6:22" ht="14.45" customHeight="1" x14ac:dyDescent="0.25">
      <c r="F22" s="64" t="s">
        <v>21</v>
      </c>
      <c r="G22" s="52"/>
      <c r="H22" s="39"/>
      <c r="I22" s="46">
        <v>80</v>
      </c>
      <c r="J22" s="46">
        <f t="shared" ref="J22:N22" si="2">J21</f>
        <v>0</v>
      </c>
      <c r="K22" s="46">
        <f t="shared" si="2"/>
        <v>332</v>
      </c>
      <c r="L22" s="46">
        <f t="shared" si="2"/>
        <v>0</v>
      </c>
      <c r="M22" s="46">
        <f t="shared" si="2"/>
        <v>156</v>
      </c>
      <c r="N22" s="46">
        <f t="shared" si="2"/>
        <v>0</v>
      </c>
      <c r="O22" s="46">
        <v>178</v>
      </c>
      <c r="P22" s="46">
        <v>289</v>
      </c>
      <c r="Q22" s="46">
        <v>95.8</v>
      </c>
      <c r="R22" s="54"/>
      <c r="S22" s="49">
        <f>I22+K22+M22+N22+O22+P22+Q22-0.11</f>
        <v>1130.69</v>
      </c>
      <c r="T22" s="50"/>
      <c r="U22" s="51"/>
      <c r="V22" s="55">
        <f>73+302+143+164+96+262</f>
        <v>1040</v>
      </c>
    </row>
    <row r="23" spans="6:22" ht="14.45" customHeight="1" x14ac:dyDescent="0.25">
      <c r="F23" s="38" t="s">
        <v>62</v>
      </c>
      <c r="G23" s="40">
        <f>11.12*7.91*1</f>
        <v>87.959199999999996</v>
      </c>
      <c r="H23" s="39">
        <f>4.04*21.95*0.5</f>
        <v>44.338999999999999</v>
      </c>
      <c r="I23" s="46"/>
      <c r="J23" s="47"/>
      <c r="K23" s="46"/>
      <c r="L23" s="47"/>
      <c r="M23" s="46"/>
      <c r="N23" s="46"/>
      <c r="O23" s="46"/>
      <c r="P23" s="46"/>
      <c r="Q23" s="46"/>
      <c r="R23" s="48"/>
      <c r="S23" s="49"/>
      <c r="T23" s="43">
        <f>(S24+S25)/2</f>
        <v>1150.2449999999999</v>
      </c>
      <c r="U23" s="44">
        <f>1091.27</f>
        <v>1091.27</v>
      </c>
    </row>
    <row r="24" spans="6:22" ht="14.45" customHeight="1" x14ac:dyDescent="0.25">
      <c r="F24" s="64" t="s">
        <v>13</v>
      </c>
      <c r="G24" s="40"/>
      <c r="H24" s="39"/>
      <c r="I24" s="46">
        <v>80</v>
      </c>
      <c r="J24" s="47"/>
      <c r="K24" s="46">
        <v>319</v>
      </c>
      <c r="L24" s="47"/>
      <c r="M24" s="46">
        <v>156</v>
      </c>
      <c r="N24" s="46">
        <v>0</v>
      </c>
      <c r="O24" s="46">
        <v>212</v>
      </c>
      <c r="P24" s="46">
        <v>322</v>
      </c>
      <c r="Q24" s="46">
        <v>95.8</v>
      </c>
      <c r="R24" s="48"/>
      <c r="S24" s="49">
        <f>I24+K24+M24+N24+O24+P24+Q24-1.17</f>
        <v>1183.6299999999999</v>
      </c>
      <c r="T24" s="50"/>
      <c r="U24" s="51"/>
      <c r="V24" s="55">
        <f>73+290+143+194+293+96</f>
        <v>1089</v>
      </c>
    </row>
    <row r="25" spans="6:22" ht="14.45" customHeight="1" x14ac:dyDescent="0.25">
      <c r="F25" s="64" t="s">
        <v>21</v>
      </c>
      <c r="G25" s="52"/>
      <c r="H25" s="39"/>
      <c r="I25" s="46">
        <f>I24</f>
        <v>80</v>
      </c>
      <c r="J25" s="46">
        <f t="shared" ref="J25:N25" si="3">J24</f>
        <v>0</v>
      </c>
      <c r="K25" s="46">
        <f t="shared" si="3"/>
        <v>319</v>
      </c>
      <c r="L25" s="46">
        <f t="shared" si="3"/>
        <v>0</v>
      </c>
      <c r="M25" s="46">
        <f t="shared" si="3"/>
        <v>156</v>
      </c>
      <c r="N25" s="46">
        <f t="shared" si="3"/>
        <v>0</v>
      </c>
      <c r="O25" s="46">
        <v>178</v>
      </c>
      <c r="P25" s="46">
        <v>289</v>
      </c>
      <c r="Q25" s="46">
        <v>95.8</v>
      </c>
      <c r="R25" s="54"/>
      <c r="S25" s="49">
        <f>I25+K25+N25+M25+O25+P25+Q25-0.94</f>
        <v>1116.8599999999999</v>
      </c>
      <c r="T25" s="50"/>
      <c r="U25" s="51"/>
      <c r="V25" s="55">
        <f>73+290+143+164+96+262</f>
        <v>1028</v>
      </c>
    </row>
    <row r="26" spans="6:22" x14ac:dyDescent="0.25">
      <c r="R26" s="56"/>
    </row>
    <row r="27" spans="6:22" ht="30.75" customHeight="1" x14ac:dyDescent="0.25">
      <c r="F27" s="112" t="s">
        <v>60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6:22" ht="15.75" customHeight="1" x14ac:dyDescent="0.25">
      <c r="F28" s="115" t="s">
        <v>5</v>
      </c>
      <c r="G28" s="116" t="s">
        <v>50</v>
      </c>
      <c r="H28" s="117" t="s">
        <v>1</v>
      </c>
      <c r="I28" s="118"/>
      <c r="J28" s="118"/>
      <c r="K28" s="118"/>
      <c r="L28" s="118"/>
      <c r="M28" s="118"/>
      <c r="N28" s="118"/>
      <c r="O28" s="118"/>
      <c r="P28" s="118"/>
      <c r="Q28" s="119" t="s">
        <v>32</v>
      </c>
      <c r="R28" s="121" t="s">
        <v>53</v>
      </c>
      <c r="S28" s="122"/>
    </row>
    <row r="29" spans="6:22" ht="37.5" customHeight="1" x14ac:dyDescent="0.25">
      <c r="F29" s="115"/>
      <c r="G29" s="116"/>
      <c r="H29" s="125" t="s">
        <v>37</v>
      </c>
      <c r="I29" s="126"/>
      <c r="J29" s="127" t="s">
        <v>38</v>
      </c>
      <c r="K29" s="128"/>
      <c r="L29" s="127" t="s">
        <v>67</v>
      </c>
      <c r="M29" s="128"/>
      <c r="N29" s="33" t="s">
        <v>68</v>
      </c>
      <c r="O29" s="33" t="s">
        <v>69</v>
      </c>
      <c r="P29" s="33" t="s">
        <v>9</v>
      </c>
      <c r="Q29" s="120"/>
      <c r="R29" s="123"/>
      <c r="S29" s="124"/>
    </row>
    <row r="30" spans="6:22" hidden="1" x14ac:dyDescent="0.25">
      <c r="F30" s="39"/>
      <c r="G30" s="39"/>
      <c r="H30" s="34">
        <v>1</v>
      </c>
      <c r="I30" s="34">
        <v>1</v>
      </c>
      <c r="J30" s="34">
        <v>1</v>
      </c>
      <c r="K30" s="57">
        <v>1</v>
      </c>
      <c r="L30" s="34">
        <v>1</v>
      </c>
      <c r="M30" s="57">
        <v>1</v>
      </c>
      <c r="N30" s="57">
        <v>1</v>
      </c>
      <c r="O30" s="57">
        <v>0.9</v>
      </c>
      <c r="P30" s="57">
        <v>0.5</v>
      </c>
      <c r="Q30" s="57"/>
      <c r="R30" s="56"/>
      <c r="S30" s="57"/>
    </row>
    <row r="31" spans="6:22" ht="14.45" customHeight="1" x14ac:dyDescent="0.25">
      <c r="F31" s="38" t="s">
        <v>14</v>
      </c>
      <c r="G31" s="39">
        <v>19.48</v>
      </c>
      <c r="H31" s="39">
        <f>3.61*21.95*1</f>
        <v>79.239499999999992</v>
      </c>
      <c r="I31" s="50"/>
      <c r="J31" s="39">
        <f>2.43*108.42*1</f>
        <v>263.4606</v>
      </c>
      <c r="K31" s="50"/>
      <c r="L31" s="40">
        <f>6.04*23.96*1</f>
        <v>144.7184</v>
      </c>
      <c r="M31" s="50"/>
      <c r="N31" s="41"/>
      <c r="O31" s="41"/>
      <c r="P31" s="41"/>
      <c r="Q31" s="41"/>
      <c r="R31" s="42">
        <f>G31+H31+J31+L31+N31+O31+P31</f>
        <v>506.89850000000001</v>
      </c>
      <c r="S31" s="58"/>
      <c r="T31" s="59">
        <f>(S32+S33)/2</f>
        <v>1199.48</v>
      </c>
      <c r="U31" s="60">
        <f>1002.71</f>
        <v>1002.71</v>
      </c>
    </row>
    <row r="32" spans="6:22" ht="14.45" customHeight="1" x14ac:dyDescent="0.25">
      <c r="F32" s="64" t="s">
        <v>12</v>
      </c>
      <c r="G32" s="39"/>
      <c r="H32" s="39"/>
      <c r="I32" s="46">
        <v>89</v>
      </c>
      <c r="J32" s="47"/>
      <c r="K32" s="46">
        <v>326</v>
      </c>
      <c r="L32" s="47"/>
      <c r="M32" s="46">
        <v>171</v>
      </c>
      <c r="N32" s="46">
        <v>108</v>
      </c>
      <c r="O32" s="46">
        <v>254</v>
      </c>
      <c r="P32" s="46">
        <v>202</v>
      </c>
      <c r="Q32" s="46">
        <v>95.8</v>
      </c>
      <c r="R32" s="48"/>
      <c r="S32" s="49">
        <f>I32+K32+M32+N32+O32+P32+Q32+1.36</f>
        <v>1247.1599999999999</v>
      </c>
      <c r="T32" s="39"/>
      <c r="U32" s="61"/>
      <c r="V32" s="35">
        <f>82+297+157+99+234+96+184</f>
        <v>1149</v>
      </c>
    </row>
    <row r="33" spans="6:22" ht="14.45" customHeight="1" x14ac:dyDescent="0.25">
      <c r="F33" s="64" t="s">
        <v>13</v>
      </c>
      <c r="G33" s="39"/>
      <c r="H33" s="39"/>
      <c r="I33" s="46">
        <v>89</v>
      </c>
      <c r="J33" s="47"/>
      <c r="K33" s="46">
        <v>326</v>
      </c>
      <c r="L33" s="47"/>
      <c r="M33" s="46">
        <v>171</v>
      </c>
      <c r="N33" s="46">
        <v>108</v>
      </c>
      <c r="O33" s="46">
        <v>198</v>
      </c>
      <c r="P33" s="46">
        <v>164</v>
      </c>
      <c r="Q33" s="46">
        <v>95.8</v>
      </c>
      <c r="R33" s="48"/>
      <c r="S33" s="49">
        <f>I33+K33+M33+N33+O33+P33+Q33</f>
        <v>1151.8</v>
      </c>
      <c r="T33" s="39"/>
      <c r="U33" s="61"/>
      <c r="V33" s="35">
        <f>82+297+157+99+182+96+149</f>
        <v>1062</v>
      </c>
    </row>
    <row r="34" spans="6:22" ht="14.45" customHeight="1" x14ac:dyDescent="0.25">
      <c r="F34" s="38" t="s">
        <v>63</v>
      </c>
      <c r="G34" s="39">
        <v>19.48</v>
      </c>
      <c r="H34" s="39">
        <f>3.61*21.95*1</f>
        <v>79.239499999999992</v>
      </c>
      <c r="I34" s="46"/>
      <c r="J34" s="47">
        <f>2.43*108.42*1</f>
        <v>263.4606</v>
      </c>
      <c r="K34" s="46"/>
      <c r="L34" s="47">
        <f>6.04*23.96*1</f>
        <v>144.7184</v>
      </c>
      <c r="M34" s="46"/>
      <c r="N34" s="46"/>
      <c r="O34" s="46"/>
      <c r="P34" s="46"/>
      <c r="Q34" s="46"/>
      <c r="R34" s="42">
        <f>G34+H34+J34+L34+N34+O34+P34</f>
        <v>506.89850000000001</v>
      </c>
      <c r="S34" s="49"/>
      <c r="T34" s="59">
        <f>(S35+S36)/2</f>
        <v>1186.4099999999999</v>
      </c>
      <c r="U34" s="60">
        <f>1002.71</f>
        <v>1002.71</v>
      </c>
    </row>
    <row r="35" spans="6:22" ht="14.45" customHeight="1" x14ac:dyDescent="0.25">
      <c r="F35" s="64" t="s">
        <v>12</v>
      </c>
      <c r="G35" s="39"/>
      <c r="H35" s="39"/>
      <c r="I35" s="46">
        <v>89</v>
      </c>
      <c r="J35" s="47"/>
      <c r="K35" s="46">
        <v>313</v>
      </c>
      <c r="L35" s="47"/>
      <c r="M35" s="46">
        <v>171</v>
      </c>
      <c r="N35" s="46">
        <v>108</v>
      </c>
      <c r="O35" s="46">
        <v>254</v>
      </c>
      <c r="P35" s="46">
        <v>202</v>
      </c>
      <c r="Q35" s="46">
        <v>95.8</v>
      </c>
      <c r="R35" s="48"/>
      <c r="S35" s="49">
        <f>I35+K35+M35+N35+O35+P35+Q35+1.22</f>
        <v>1234.02</v>
      </c>
      <c r="T35" s="39"/>
      <c r="U35" s="61"/>
      <c r="V35" s="35">
        <f>82+285+157+99+234+96+184</f>
        <v>1137</v>
      </c>
    </row>
    <row r="36" spans="6:22" ht="14.45" customHeight="1" x14ac:dyDescent="0.25">
      <c r="F36" s="64" t="s">
        <v>13</v>
      </c>
      <c r="G36" s="39"/>
      <c r="H36" s="39"/>
      <c r="I36" s="46">
        <v>89</v>
      </c>
      <c r="J36" s="47"/>
      <c r="K36" s="46">
        <f>K35</f>
        <v>313</v>
      </c>
      <c r="L36" s="47"/>
      <c r="M36" s="46">
        <f>M35</f>
        <v>171</v>
      </c>
      <c r="N36" s="46">
        <f>N35</f>
        <v>108</v>
      </c>
      <c r="O36" s="46">
        <v>198</v>
      </c>
      <c r="P36" s="46">
        <v>164</v>
      </c>
      <c r="Q36" s="46">
        <v>95.8</v>
      </c>
      <c r="R36" s="48"/>
      <c r="S36" s="49">
        <f>I36+K36+M36+N36+O36+P36+Q36</f>
        <v>1138.8</v>
      </c>
      <c r="T36" s="39"/>
      <c r="U36" s="61"/>
      <c r="V36" s="35">
        <f>82+285+157+99+182+96+149</f>
        <v>1050</v>
      </c>
    </row>
    <row r="37" spans="6:22" ht="14.45" customHeight="1" x14ac:dyDescent="0.25">
      <c r="F37" s="38" t="s">
        <v>61</v>
      </c>
      <c r="G37" s="40">
        <f>11.12*7.91*1</f>
        <v>87.959199999999996</v>
      </c>
      <c r="H37" s="39">
        <f>4.04*21.95*1</f>
        <v>88.677999999999997</v>
      </c>
      <c r="I37" s="46"/>
      <c r="J37" s="47"/>
      <c r="K37" s="46"/>
      <c r="L37" s="47"/>
      <c r="M37" s="46"/>
      <c r="N37" s="46"/>
      <c r="O37" s="46"/>
      <c r="P37" s="46"/>
      <c r="Q37" s="46"/>
      <c r="R37" s="48"/>
      <c r="S37" s="49"/>
      <c r="T37" s="59">
        <f>(S38+S39)/2</f>
        <v>1306.3</v>
      </c>
      <c r="U37" s="60">
        <f>(1058.44+1080.04)/2</f>
        <v>1069.24</v>
      </c>
    </row>
    <row r="38" spans="6:22" ht="14.45" customHeight="1" x14ac:dyDescent="0.25">
      <c r="F38" s="64" t="s">
        <v>13</v>
      </c>
      <c r="G38" s="39"/>
      <c r="H38" s="39"/>
      <c r="I38" s="46">
        <v>100</v>
      </c>
      <c r="J38" s="47"/>
      <c r="K38" s="46">
        <v>415</v>
      </c>
      <c r="L38" s="47"/>
      <c r="M38" s="46">
        <v>195</v>
      </c>
      <c r="N38" s="46">
        <v>0</v>
      </c>
      <c r="O38" s="46">
        <v>212</v>
      </c>
      <c r="P38" s="46">
        <v>322</v>
      </c>
      <c r="Q38" s="46">
        <v>95.8</v>
      </c>
      <c r="R38" s="48"/>
      <c r="S38" s="49">
        <f>I38+K38+M38+N38+O38+P38+Q38</f>
        <v>1339.8</v>
      </c>
      <c r="T38" s="39"/>
      <c r="U38" s="61"/>
      <c r="V38" s="35">
        <f>92+377+179+194+96+293</f>
        <v>1231</v>
      </c>
    </row>
    <row r="39" spans="6:22" ht="14.45" customHeight="1" x14ac:dyDescent="0.25">
      <c r="F39" s="64" t="s">
        <v>21</v>
      </c>
      <c r="G39" s="39"/>
      <c r="H39" s="39"/>
      <c r="I39" s="46">
        <f>I38</f>
        <v>100</v>
      </c>
      <c r="J39" s="47"/>
      <c r="K39" s="46">
        <f>K38</f>
        <v>415</v>
      </c>
      <c r="L39" s="47"/>
      <c r="M39" s="46">
        <f>M38</f>
        <v>195</v>
      </c>
      <c r="N39" s="46">
        <v>0</v>
      </c>
      <c r="O39" s="46">
        <v>178</v>
      </c>
      <c r="P39" s="46">
        <v>289</v>
      </c>
      <c r="Q39" s="46">
        <v>95.8</v>
      </c>
      <c r="R39" s="48"/>
      <c r="S39" s="49">
        <f>I39+K39+M39+N39+O39+P39+Q39</f>
        <v>1272.8</v>
      </c>
      <c r="T39" s="39"/>
      <c r="U39" s="61"/>
      <c r="V39" s="35">
        <f>92+377+179+164+96+262</f>
        <v>1170</v>
      </c>
    </row>
    <row r="40" spans="6:22" ht="14.45" customHeight="1" x14ac:dyDescent="0.25">
      <c r="F40" s="38" t="s">
        <v>62</v>
      </c>
      <c r="G40" s="40">
        <f>11.12*7.91*1</f>
        <v>87.959199999999996</v>
      </c>
      <c r="H40" s="39">
        <f>4.04*21.95*1</f>
        <v>88.677999999999997</v>
      </c>
      <c r="I40" s="46"/>
      <c r="J40" s="47"/>
      <c r="K40" s="46"/>
      <c r="L40" s="47"/>
      <c r="M40" s="46"/>
      <c r="N40" s="46"/>
      <c r="O40" s="46"/>
      <c r="P40" s="46"/>
      <c r="Q40" s="46"/>
      <c r="R40" s="48"/>
      <c r="S40" s="49"/>
      <c r="T40" s="59">
        <f>(S41+S42)/2</f>
        <v>1290.3</v>
      </c>
      <c r="U40" s="60">
        <f>1222.36</f>
        <v>1222.3599999999999</v>
      </c>
    </row>
    <row r="41" spans="6:22" ht="14.45" customHeight="1" x14ac:dyDescent="0.25">
      <c r="F41" s="64" t="s">
        <v>13</v>
      </c>
      <c r="G41" s="40"/>
      <c r="H41" s="39"/>
      <c r="I41" s="46">
        <v>100</v>
      </c>
      <c r="J41" s="47"/>
      <c r="K41" s="46">
        <v>399</v>
      </c>
      <c r="L41" s="47"/>
      <c r="M41" s="46">
        <v>195</v>
      </c>
      <c r="N41" s="46">
        <v>0</v>
      </c>
      <c r="O41" s="46">
        <v>212</v>
      </c>
      <c r="P41" s="46">
        <v>322</v>
      </c>
      <c r="Q41" s="46">
        <v>95.8</v>
      </c>
      <c r="R41" s="48"/>
      <c r="S41" s="49">
        <f>I41+K41+M41+N41+O41+P41+Q41</f>
        <v>1323.8</v>
      </c>
      <c r="T41" s="39"/>
      <c r="U41" s="61"/>
      <c r="V41" s="35">
        <f>92+363+179+194+96+293</f>
        <v>1217</v>
      </c>
    </row>
    <row r="42" spans="6:22" ht="14.45" customHeight="1" x14ac:dyDescent="0.25">
      <c r="F42" s="64" t="s">
        <v>21</v>
      </c>
      <c r="G42" s="39"/>
      <c r="H42" s="39"/>
      <c r="I42" s="46">
        <f>I41</f>
        <v>100</v>
      </c>
      <c r="J42" s="47"/>
      <c r="K42" s="46">
        <f>K41</f>
        <v>399</v>
      </c>
      <c r="L42" s="47"/>
      <c r="M42" s="46">
        <f>M41</f>
        <v>195</v>
      </c>
      <c r="N42" s="46">
        <v>0</v>
      </c>
      <c r="O42" s="46">
        <v>178</v>
      </c>
      <c r="P42" s="46">
        <v>289</v>
      </c>
      <c r="Q42" s="46">
        <v>95.8</v>
      </c>
      <c r="R42" s="48"/>
      <c r="S42" s="49">
        <f>I42+K42+M42+N42+O42+P42+Q42</f>
        <v>1256.8</v>
      </c>
      <c r="T42" s="39"/>
      <c r="U42" s="61"/>
      <c r="V42" s="35">
        <f>92+363+179+164+96+262</f>
        <v>1156</v>
      </c>
    </row>
    <row r="43" spans="6:22" ht="18.75" customHeight="1" x14ac:dyDescent="0.25">
      <c r="F43" s="78" t="s">
        <v>45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5" spans="6:22" ht="30" customHeight="1" x14ac:dyDescent="0.25">
      <c r="F45" s="76" t="s">
        <v>57</v>
      </c>
      <c r="G45" s="76"/>
      <c r="H45" s="76"/>
      <c r="I45" s="76"/>
      <c r="J45" s="76"/>
      <c r="K45" s="76"/>
      <c r="P45" s="114" t="s">
        <v>54</v>
      </c>
      <c r="Q45" s="114"/>
      <c r="R45" s="114"/>
      <c r="S45" s="114"/>
    </row>
    <row r="46" spans="6:22" ht="6" customHeight="1" x14ac:dyDescent="0.25">
      <c r="F46" s="62"/>
      <c r="G46" s="62"/>
      <c r="H46" s="62"/>
      <c r="I46" s="62"/>
      <c r="J46" s="62"/>
      <c r="K46" s="62"/>
      <c r="P46" s="63"/>
      <c r="Q46" s="63"/>
      <c r="R46" s="63"/>
      <c r="S46" s="63"/>
    </row>
    <row r="47" spans="6:22" ht="30" customHeight="1" x14ac:dyDescent="0.25">
      <c r="F47" s="76" t="s">
        <v>43</v>
      </c>
      <c r="G47" s="76"/>
      <c r="H47" s="76"/>
      <c r="I47" s="76"/>
      <c r="J47" s="76"/>
      <c r="K47" s="76"/>
      <c r="P47" s="114" t="s">
        <v>55</v>
      </c>
      <c r="Q47" s="114"/>
      <c r="R47" s="114"/>
      <c r="S47" s="114"/>
    </row>
  </sheetData>
  <mergeCells count="31">
    <mergeCell ref="O1:S1"/>
    <mergeCell ref="K6:S6"/>
    <mergeCell ref="N7:S7"/>
    <mergeCell ref="F8:S8"/>
    <mergeCell ref="G12:G13"/>
    <mergeCell ref="H12:P12"/>
    <mergeCell ref="Q12:Q13"/>
    <mergeCell ref="R12:S13"/>
    <mergeCell ref="O2:P2"/>
    <mergeCell ref="I9:P9"/>
    <mergeCell ref="T12:T13"/>
    <mergeCell ref="U12:U13"/>
    <mergeCell ref="H13:I13"/>
    <mergeCell ref="J13:K13"/>
    <mergeCell ref="L13:M13"/>
    <mergeCell ref="F27:S27"/>
    <mergeCell ref="F10:S10"/>
    <mergeCell ref="F45:K45"/>
    <mergeCell ref="F47:K47"/>
    <mergeCell ref="P45:S45"/>
    <mergeCell ref="P47:S47"/>
    <mergeCell ref="F43:S43"/>
    <mergeCell ref="F28:F29"/>
    <mergeCell ref="G28:G29"/>
    <mergeCell ref="H28:P28"/>
    <mergeCell ref="Q28:Q29"/>
    <mergeCell ref="R28:S29"/>
    <mergeCell ref="H29:I29"/>
    <mergeCell ref="J29:K29"/>
    <mergeCell ref="L29:M29"/>
    <mergeCell ref="F12:F13"/>
  </mergeCells>
  <pageMargins left="0" right="0" top="0.19685039370078741" bottom="0.19685039370078741" header="0.31496062992125984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B1" zoomScale="110" zoomScaleNormal="110" workbookViewId="0">
      <selection activeCell="M1" sqref="M1:N5"/>
    </sheetView>
  </sheetViews>
  <sheetFormatPr defaultRowHeight="15" x14ac:dyDescent="0.25"/>
  <cols>
    <col min="1" max="1" width="9.140625" hidden="1" customWidth="1"/>
    <col min="4" max="4" width="10.28515625" customWidth="1"/>
    <col min="5" max="5" width="0.140625" customWidth="1"/>
    <col min="6" max="6" width="0.140625" hidden="1" customWidth="1"/>
    <col min="7" max="7" width="7.85546875" customWidth="1"/>
    <col min="8" max="8" width="7.28515625" hidden="1" customWidth="1"/>
    <col min="10" max="10" width="8" hidden="1" customWidth="1"/>
    <col min="14" max="15" width="10.85546875" customWidth="1"/>
    <col min="16" max="16" width="0" hidden="1" customWidth="1"/>
    <col min="17" max="17" width="16.42578125" customWidth="1"/>
    <col min="18" max="19" width="0" hidden="1" customWidth="1"/>
  </cols>
  <sheetData>
    <row r="1" spans="2:21" x14ac:dyDescent="0.25">
      <c r="M1" s="110" t="s">
        <v>44</v>
      </c>
      <c r="N1" s="110"/>
    </row>
    <row r="2" spans="2:21" x14ac:dyDescent="0.25">
      <c r="M2" s="110" t="s">
        <v>26</v>
      </c>
      <c r="N2" s="110"/>
    </row>
    <row r="3" spans="2:21" x14ac:dyDescent="0.25">
      <c r="M3" t="s">
        <v>33</v>
      </c>
    </row>
    <row r="4" spans="2:21" x14ac:dyDescent="0.25">
      <c r="M4" t="s">
        <v>28</v>
      </c>
    </row>
    <row r="5" spans="2:21" x14ac:dyDescent="0.25">
      <c r="M5" t="s">
        <v>34</v>
      </c>
    </row>
    <row r="6" spans="2:21" ht="15.7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21" ht="27.75" customHeight="1" x14ac:dyDescent="0.25">
      <c r="B7" s="88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2:21" ht="9.75" customHeight="1" x14ac:dyDescent="0.2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2:21" x14ac:dyDescent="0.25">
      <c r="G9" s="111" t="s">
        <v>41</v>
      </c>
      <c r="H9" s="111"/>
      <c r="I9" s="111"/>
      <c r="J9" s="111"/>
      <c r="K9" s="111"/>
      <c r="L9" s="111"/>
      <c r="M9" s="111"/>
      <c r="N9" s="111"/>
    </row>
    <row r="10" spans="2:21" ht="15.75" x14ac:dyDescent="0.25">
      <c r="C10" t="s">
        <v>6</v>
      </c>
    </row>
    <row r="12" spans="2:21" ht="15" customHeight="1" x14ac:dyDescent="0.25">
      <c r="C12" s="99" t="s">
        <v>5</v>
      </c>
      <c r="D12" s="100"/>
      <c r="E12" s="109" t="s">
        <v>10</v>
      </c>
      <c r="F12" s="90" t="s">
        <v>1</v>
      </c>
      <c r="G12" s="90"/>
      <c r="H12" s="90"/>
      <c r="I12" s="90"/>
      <c r="J12" s="90"/>
      <c r="K12" s="90"/>
      <c r="L12" s="90"/>
      <c r="M12" s="90"/>
      <c r="N12" s="90"/>
      <c r="O12" s="95" t="s">
        <v>32</v>
      </c>
      <c r="P12" s="84" t="s">
        <v>22</v>
      </c>
      <c r="Q12" s="85"/>
      <c r="R12" s="80" t="s">
        <v>24</v>
      </c>
      <c r="S12" s="82" t="s">
        <v>25</v>
      </c>
    </row>
    <row r="13" spans="2:21" ht="35.25" customHeight="1" x14ac:dyDescent="0.25">
      <c r="C13" s="101"/>
      <c r="D13" s="102"/>
      <c r="E13" s="109"/>
      <c r="F13" s="91" t="s">
        <v>18</v>
      </c>
      <c r="G13" s="92"/>
      <c r="H13" s="93" t="s">
        <v>19</v>
      </c>
      <c r="I13" s="94"/>
      <c r="J13" s="93" t="s">
        <v>20</v>
      </c>
      <c r="K13" s="94"/>
      <c r="L13" s="23" t="s">
        <v>11</v>
      </c>
      <c r="M13" s="24" t="s">
        <v>8</v>
      </c>
      <c r="N13" s="25" t="s">
        <v>9</v>
      </c>
      <c r="O13" s="96"/>
      <c r="P13" s="86"/>
      <c r="Q13" s="87"/>
      <c r="R13" s="81"/>
      <c r="S13" s="83"/>
    </row>
    <row r="14" spans="2:21" x14ac:dyDescent="0.25">
      <c r="C14" s="4" t="s">
        <v>14</v>
      </c>
      <c r="D14" s="3"/>
      <c r="E14" s="9">
        <f>6.66*5.59*0.5</f>
        <v>18.614699999999999</v>
      </c>
      <c r="F14" s="6">
        <f>3.61*21.95*0.5</f>
        <v>39.619749999999996</v>
      </c>
      <c r="G14" s="6"/>
      <c r="H14" s="3"/>
      <c r="I14" s="11"/>
      <c r="J14" s="6"/>
      <c r="K14" s="11"/>
      <c r="L14" s="13"/>
      <c r="M14" s="6"/>
      <c r="N14" s="11"/>
      <c r="O14" s="11"/>
      <c r="P14" s="15">
        <f>F14+H14+J14+L14+M14+N14</f>
        <v>39.619749999999996</v>
      </c>
      <c r="Q14" s="14"/>
      <c r="R14" s="14">
        <f>(Q15+Q16)/2</f>
        <v>948.02499999999998</v>
      </c>
      <c r="S14" s="28">
        <f>810.92</f>
        <v>810.92</v>
      </c>
      <c r="U14" s="2"/>
    </row>
    <row r="15" spans="2:21" ht="15.75" x14ac:dyDescent="0.25">
      <c r="C15" s="103" t="s">
        <v>12</v>
      </c>
      <c r="D15" s="106"/>
      <c r="E15" s="9"/>
      <c r="F15" s="6"/>
      <c r="G15" s="11">
        <v>65.53</v>
      </c>
      <c r="H15" s="3"/>
      <c r="I15" s="11">
        <v>237.22</v>
      </c>
      <c r="J15" s="6"/>
      <c r="K15" s="11">
        <v>125.58</v>
      </c>
      <c r="L15" s="13">
        <v>49.54</v>
      </c>
      <c r="M15" s="11">
        <v>233.64</v>
      </c>
      <c r="N15" s="11">
        <v>183.7</v>
      </c>
      <c r="O15" s="11">
        <v>95.8</v>
      </c>
      <c r="P15" s="15"/>
      <c r="Q15" s="20">
        <f>G15+I15+K15+L15+M15+N15+O15</f>
        <v>991.01</v>
      </c>
      <c r="R15" s="12"/>
      <c r="S15" s="29"/>
      <c r="U15" s="2"/>
    </row>
    <row r="16" spans="2:21" ht="15.75" x14ac:dyDescent="0.25">
      <c r="C16" s="103" t="s">
        <v>13</v>
      </c>
      <c r="D16" s="104"/>
      <c r="E16" s="5"/>
      <c r="F16" s="5"/>
      <c r="G16" s="11">
        <f>G15</f>
        <v>65.53</v>
      </c>
      <c r="H16" s="11">
        <f t="shared" ref="H16:L16" si="0">H15</f>
        <v>0</v>
      </c>
      <c r="I16" s="11">
        <f t="shared" si="0"/>
        <v>237.22</v>
      </c>
      <c r="J16" s="11">
        <f t="shared" si="0"/>
        <v>0</v>
      </c>
      <c r="K16" s="11">
        <f t="shared" si="0"/>
        <v>125.58</v>
      </c>
      <c r="L16" s="11">
        <f t="shared" si="0"/>
        <v>49.54</v>
      </c>
      <c r="M16" s="11">
        <v>182.16</v>
      </c>
      <c r="N16" s="11">
        <v>149.21</v>
      </c>
      <c r="O16" s="11">
        <v>95.8</v>
      </c>
      <c r="P16" s="15"/>
      <c r="Q16" s="20">
        <f>G16+I16+K16+L16+M16+N16+O16</f>
        <v>905.04</v>
      </c>
      <c r="R16" s="12"/>
      <c r="S16" s="29"/>
      <c r="U16" s="2"/>
    </row>
    <row r="17" spans="3:19" ht="15.75" x14ac:dyDescent="0.25">
      <c r="C17" s="4" t="s">
        <v>15</v>
      </c>
      <c r="D17" s="3"/>
      <c r="E17" s="6">
        <f>6.66*5.85*0.5</f>
        <v>19.480499999999999</v>
      </c>
      <c r="F17" s="3">
        <f>3.61*21.95*0.5</f>
        <v>39.619749999999996</v>
      </c>
      <c r="G17" s="11"/>
      <c r="H17" s="3"/>
      <c r="I17" s="11"/>
      <c r="J17" s="6"/>
      <c r="K17" s="11"/>
      <c r="L17" s="11"/>
      <c r="M17" s="11"/>
      <c r="N17" s="11"/>
      <c r="O17" s="11"/>
      <c r="P17" s="15"/>
      <c r="Q17" s="20"/>
      <c r="R17" s="27">
        <f>(Q18+Q19)/2</f>
        <v>938.53499999999997</v>
      </c>
      <c r="S17" s="28">
        <f>841.64</f>
        <v>841.64</v>
      </c>
    </row>
    <row r="18" spans="3:19" ht="15.75" x14ac:dyDescent="0.25">
      <c r="C18" s="103" t="s">
        <v>12</v>
      </c>
      <c r="D18" s="105"/>
      <c r="E18" s="6"/>
      <c r="F18" s="3"/>
      <c r="G18" s="11">
        <v>65.53</v>
      </c>
      <c r="H18" s="3"/>
      <c r="I18" s="11">
        <v>227.73</v>
      </c>
      <c r="J18" s="6"/>
      <c r="K18" s="11">
        <v>125.58</v>
      </c>
      <c r="L18" s="11">
        <v>49.54</v>
      </c>
      <c r="M18" s="11">
        <v>233.64</v>
      </c>
      <c r="N18" s="11">
        <v>183.7</v>
      </c>
      <c r="O18" s="11">
        <v>95.8</v>
      </c>
      <c r="P18" s="15"/>
      <c r="Q18" s="20">
        <f>G18+I18+K18+L18+M18+N18+O18</f>
        <v>981.52</v>
      </c>
      <c r="R18" s="12"/>
      <c r="S18" s="29"/>
    </row>
    <row r="19" spans="3:19" ht="15.75" x14ac:dyDescent="0.25">
      <c r="C19" s="97" t="s">
        <v>13</v>
      </c>
      <c r="D19" s="98"/>
      <c r="E19" s="5"/>
      <c r="F19" s="5"/>
      <c r="G19" s="11">
        <f>G18</f>
        <v>65.53</v>
      </c>
      <c r="H19" s="11">
        <f t="shared" ref="H19:L19" si="1">H18</f>
        <v>0</v>
      </c>
      <c r="I19" s="11">
        <f t="shared" si="1"/>
        <v>227.73</v>
      </c>
      <c r="J19" s="11">
        <f t="shared" si="1"/>
        <v>0</v>
      </c>
      <c r="K19" s="11">
        <f t="shared" si="1"/>
        <v>125.58</v>
      </c>
      <c r="L19" s="11">
        <f t="shared" si="1"/>
        <v>49.54</v>
      </c>
      <c r="M19" s="12">
        <v>182.16</v>
      </c>
      <c r="N19" s="11">
        <v>149.21</v>
      </c>
      <c r="O19" s="11">
        <v>95.8</v>
      </c>
      <c r="P19" s="16"/>
      <c r="Q19" s="20">
        <f>G19+I19+K19+L19+M19+N19+O19</f>
        <v>895.55</v>
      </c>
      <c r="R19" s="12"/>
      <c r="S19" s="29"/>
    </row>
    <row r="20" spans="3:19" ht="15.75" x14ac:dyDescent="0.25">
      <c r="C20" s="4" t="s">
        <v>16</v>
      </c>
      <c r="D20" s="3"/>
      <c r="E20" s="6">
        <f>11.12*7.91*1</f>
        <v>87.959199999999996</v>
      </c>
      <c r="F20" s="3">
        <f>4.04*21.95*0.5</f>
        <v>44.338999999999999</v>
      </c>
      <c r="G20" s="11"/>
      <c r="H20" s="3"/>
      <c r="I20" s="11"/>
      <c r="J20" s="10"/>
      <c r="K20" s="11"/>
      <c r="L20" s="12"/>
      <c r="M20" s="11"/>
      <c r="N20" s="11"/>
      <c r="O20" s="11"/>
      <c r="P20" s="15"/>
      <c r="Q20" s="20"/>
      <c r="R20" s="14">
        <f>(Q21+Q22)/2</f>
        <v>1070.7249999999999</v>
      </c>
      <c r="S20" s="28">
        <f>(917.9+944.13)/2</f>
        <v>931.01499999999999</v>
      </c>
    </row>
    <row r="21" spans="3:19" ht="15" customHeight="1" x14ac:dyDescent="0.25">
      <c r="C21" s="103" t="s">
        <v>13</v>
      </c>
      <c r="D21" s="105"/>
      <c r="E21" s="6"/>
      <c r="F21" s="3"/>
      <c r="G21" s="11">
        <v>73.33</v>
      </c>
      <c r="H21" s="3"/>
      <c r="I21" s="11">
        <v>301.54000000000002</v>
      </c>
      <c r="J21" s="10"/>
      <c r="K21" s="11">
        <v>143.46</v>
      </c>
      <c r="L21" s="12">
        <v>0</v>
      </c>
      <c r="M21" s="11">
        <v>194.04</v>
      </c>
      <c r="N21" s="11">
        <v>293.17</v>
      </c>
      <c r="O21" s="11">
        <v>95.8</v>
      </c>
      <c r="P21" s="15"/>
      <c r="Q21" s="20">
        <f>G21+I21+K21+L21+M21+N21+O21</f>
        <v>1101.3399999999999</v>
      </c>
      <c r="R21" s="12"/>
      <c r="S21" s="29"/>
    </row>
    <row r="22" spans="3:19" ht="15.75" x14ac:dyDescent="0.25">
      <c r="C22" s="97" t="s">
        <v>21</v>
      </c>
      <c r="D22" s="98"/>
      <c r="E22" s="5"/>
      <c r="F22" s="3"/>
      <c r="G22" s="11">
        <f>G21</f>
        <v>73.33</v>
      </c>
      <c r="H22" s="11">
        <f t="shared" ref="H22:L22" si="2">H21</f>
        <v>0</v>
      </c>
      <c r="I22" s="11">
        <f t="shared" si="2"/>
        <v>301.54000000000002</v>
      </c>
      <c r="J22" s="11">
        <f t="shared" si="2"/>
        <v>0</v>
      </c>
      <c r="K22" s="11">
        <f t="shared" si="2"/>
        <v>143.46</v>
      </c>
      <c r="L22" s="32">
        <f t="shared" si="2"/>
        <v>0</v>
      </c>
      <c r="M22" s="12">
        <v>163.55000000000001</v>
      </c>
      <c r="N22" s="12">
        <v>262.43</v>
      </c>
      <c r="O22" s="11">
        <v>95.8</v>
      </c>
      <c r="P22" s="16"/>
      <c r="Q22" s="20">
        <f>G22+I22+K22+L22+M22+N22+O22</f>
        <v>1040.1100000000001</v>
      </c>
      <c r="R22" s="12"/>
      <c r="S22" s="29"/>
    </row>
    <row r="23" spans="3:19" ht="15.75" x14ac:dyDescent="0.25">
      <c r="C23" s="4" t="s">
        <v>17</v>
      </c>
      <c r="D23" s="3"/>
      <c r="E23" s="6">
        <f>11.12*7.91*1</f>
        <v>87.959199999999996</v>
      </c>
      <c r="F23" s="3">
        <f>4.04*21.95*0.5</f>
        <v>44.338999999999999</v>
      </c>
      <c r="G23" s="11"/>
      <c r="H23" s="3"/>
      <c r="I23" s="11"/>
      <c r="J23" s="10"/>
      <c r="K23" s="11"/>
      <c r="L23" s="12"/>
      <c r="M23" s="11"/>
      <c r="N23" s="11"/>
      <c r="O23" s="11"/>
      <c r="P23" s="15"/>
      <c r="Q23" s="20"/>
      <c r="R23" s="14">
        <f>(Q24+Q25)/2</f>
        <v>1059.5549999999998</v>
      </c>
      <c r="S23" s="28">
        <f>1091.27</f>
        <v>1091.27</v>
      </c>
    </row>
    <row r="24" spans="3:19" ht="15" customHeight="1" x14ac:dyDescent="0.25">
      <c r="C24" s="103" t="s">
        <v>13</v>
      </c>
      <c r="D24" s="105"/>
      <c r="E24" s="6"/>
      <c r="F24" s="3"/>
      <c r="G24" s="11">
        <v>73.33</v>
      </c>
      <c r="H24" s="3"/>
      <c r="I24" s="11">
        <v>290.37</v>
      </c>
      <c r="J24" s="10"/>
      <c r="K24" s="11">
        <v>143.46</v>
      </c>
      <c r="L24" s="12">
        <v>0</v>
      </c>
      <c r="M24" s="11">
        <v>194.04</v>
      </c>
      <c r="N24" s="11">
        <v>293.17</v>
      </c>
      <c r="O24" s="11">
        <v>95.8</v>
      </c>
      <c r="P24" s="15"/>
      <c r="Q24" s="20">
        <f>G24+I24+K24+L24+M24+N24+O24</f>
        <v>1090.1699999999998</v>
      </c>
      <c r="R24" s="12"/>
      <c r="S24" s="29"/>
    </row>
    <row r="25" spans="3:19" ht="15.75" x14ac:dyDescent="0.25">
      <c r="C25" s="97" t="s">
        <v>21</v>
      </c>
      <c r="D25" s="98"/>
      <c r="E25" s="5"/>
      <c r="F25" s="3"/>
      <c r="G25" s="11">
        <f>G24</f>
        <v>73.33</v>
      </c>
      <c r="H25" s="11">
        <f t="shared" ref="H25:L25" si="3">H24</f>
        <v>0</v>
      </c>
      <c r="I25" s="11">
        <f t="shared" si="3"/>
        <v>290.37</v>
      </c>
      <c r="J25" s="11">
        <f t="shared" si="3"/>
        <v>0</v>
      </c>
      <c r="K25" s="11">
        <f t="shared" si="3"/>
        <v>143.46</v>
      </c>
      <c r="L25" s="32">
        <f t="shared" si="3"/>
        <v>0</v>
      </c>
      <c r="M25" s="12">
        <v>163.55000000000001</v>
      </c>
      <c r="N25" s="12">
        <v>262.43</v>
      </c>
      <c r="O25" s="11">
        <v>95.8</v>
      </c>
      <c r="P25" s="16"/>
      <c r="Q25" s="20">
        <f>G25+I25+L25+K25+M25+N25+O25</f>
        <v>1028.94</v>
      </c>
      <c r="R25" s="12"/>
      <c r="S25" s="29"/>
    </row>
    <row r="26" spans="3:19" x14ac:dyDescent="0.25">
      <c r="P26" s="7"/>
    </row>
    <row r="27" spans="3:19" ht="15.75" x14ac:dyDescent="0.25">
      <c r="C27" t="s">
        <v>7</v>
      </c>
      <c r="P27" s="7"/>
    </row>
    <row r="28" spans="3:19" ht="15.75" x14ac:dyDescent="0.25">
      <c r="C28" s="8" t="s">
        <v>0</v>
      </c>
      <c r="N28" s="22"/>
      <c r="O28" s="22"/>
      <c r="P28" s="7"/>
      <c r="Q28" s="22"/>
    </row>
    <row r="29" spans="3:19" ht="15.75" x14ac:dyDescent="0.25">
      <c r="C29" s="99" t="s">
        <v>5</v>
      </c>
      <c r="D29" s="100"/>
      <c r="E29" s="109" t="s">
        <v>10</v>
      </c>
      <c r="F29" s="90" t="s">
        <v>1</v>
      </c>
      <c r="G29" s="90"/>
      <c r="H29" s="90"/>
      <c r="I29" s="90"/>
      <c r="J29" s="90"/>
      <c r="K29" s="90"/>
      <c r="L29" s="90"/>
      <c r="M29" s="90"/>
      <c r="N29" s="90"/>
      <c r="O29" s="95" t="s">
        <v>32</v>
      </c>
      <c r="P29" s="84" t="s">
        <v>22</v>
      </c>
      <c r="Q29" s="85"/>
    </row>
    <row r="30" spans="3:19" ht="37.5" customHeight="1" x14ac:dyDescent="0.25">
      <c r="C30" s="101"/>
      <c r="D30" s="102"/>
      <c r="E30" s="109"/>
      <c r="F30" s="91" t="s">
        <v>37</v>
      </c>
      <c r="G30" s="92"/>
      <c r="H30" s="93" t="s">
        <v>38</v>
      </c>
      <c r="I30" s="94"/>
      <c r="J30" s="93" t="s">
        <v>39</v>
      </c>
      <c r="K30" s="94"/>
      <c r="L30" s="23" t="s">
        <v>40</v>
      </c>
      <c r="M30" s="24" t="s">
        <v>8</v>
      </c>
      <c r="N30" s="25" t="s">
        <v>9</v>
      </c>
      <c r="O30" s="96"/>
      <c r="P30" s="86"/>
      <c r="Q30" s="87"/>
    </row>
    <row r="31" spans="3:19" hidden="1" x14ac:dyDescent="0.25">
      <c r="F31">
        <v>1</v>
      </c>
      <c r="G31">
        <v>1</v>
      </c>
      <c r="H31">
        <v>1</v>
      </c>
      <c r="I31" s="22">
        <v>1</v>
      </c>
      <c r="J31">
        <v>1</v>
      </c>
      <c r="K31" s="22">
        <v>1</v>
      </c>
      <c r="L31" s="22">
        <v>1</v>
      </c>
      <c r="M31" s="22">
        <v>0.9</v>
      </c>
      <c r="N31" s="22">
        <v>0.5</v>
      </c>
      <c r="O31" s="22"/>
      <c r="P31" s="7"/>
      <c r="Q31" s="22"/>
    </row>
    <row r="32" spans="3:19" ht="15.75" x14ac:dyDescent="0.25">
      <c r="C32" s="4" t="s">
        <v>47</v>
      </c>
      <c r="D32" s="3"/>
      <c r="E32" s="3">
        <v>19.48</v>
      </c>
      <c r="F32" s="3">
        <f>3.61*21.95*1</f>
        <v>79.239499999999992</v>
      </c>
      <c r="G32" s="12"/>
      <c r="H32" s="3">
        <f>2.43*108.42*1</f>
        <v>263.4606</v>
      </c>
      <c r="I32" s="12"/>
      <c r="J32" s="6">
        <f>6.04*23.96*1</f>
        <v>144.7184</v>
      </c>
      <c r="K32" s="12"/>
      <c r="L32" s="11"/>
      <c r="M32" s="11"/>
      <c r="N32" s="11"/>
      <c r="O32" s="11"/>
      <c r="P32" s="15">
        <f>E32+F32+H32+J32+L32+M32+N32</f>
        <v>506.89850000000001</v>
      </c>
      <c r="Q32" s="21"/>
      <c r="R32" s="26">
        <f>(Q33+Q34)/2</f>
        <v>1104.6500000000001</v>
      </c>
      <c r="S32" s="30">
        <f>1002.71</f>
        <v>1002.71</v>
      </c>
    </row>
    <row r="33" spans="3:19" ht="15" customHeight="1" x14ac:dyDescent="0.25">
      <c r="C33" s="103" t="s">
        <v>12</v>
      </c>
      <c r="D33" s="106"/>
      <c r="E33" s="3"/>
      <c r="F33" s="3"/>
      <c r="G33" s="12">
        <v>81.91</v>
      </c>
      <c r="H33" s="3"/>
      <c r="I33" s="11">
        <f>I15*1.25</f>
        <v>296.52499999999998</v>
      </c>
      <c r="J33" s="6"/>
      <c r="K33" s="12">
        <v>156.97999999999999</v>
      </c>
      <c r="L33" s="11">
        <v>99.08</v>
      </c>
      <c r="M33" s="11">
        <v>233.64</v>
      </c>
      <c r="N33" s="11">
        <v>183.7</v>
      </c>
      <c r="O33" s="11">
        <v>95.8</v>
      </c>
      <c r="P33" s="15"/>
      <c r="Q33" s="20">
        <f>G33+I33+K33+L33+M33+N33+O33</f>
        <v>1147.635</v>
      </c>
      <c r="R33" s="3"/>
      <c r="S33" s="31"/>
    </row>
    <row r="34" spans="3:19" ht="15.75" x14ac:dyDescent="0.25">
      <c r="C34" s="97" t="s">
        <v>13</v>
      </c>
      <c r="D34" s="98"/>
      <c r="E34" s="3"/>
      <c r="F34" s="3"/>
      <c r="G34" s="12">
        <v>81.91</v>
      </c>
      <c r="H34" s="3"/>
      <c r="I34" s="11">
        <f>I16*1.25</f>
        <v>296.52499999999998</v>
      </c>
      <c r="J34" s="3"/>
      <c r="K34" s="12">
        <v>156.97999999999999</v>
      </c>
      <c r="L34" s="12">
        <v>99.08</v>
      </c>
      <c r="M34" s="12">
        <v>182.16</v>
      </c>
      <c r="N34" s="11">
        <v>149.21</v>
      </c>
      <c r="O34" s="11">
        <v>95.8</v>
      </c>
      <c r="P34" s="17"/>
      <c r="Q34" s="20">
        <f>G34+I34+K34+L34+M34+N34+O34</f>
        <v>1061.665</v>
      </c>
      <c r="R34" s="3"/>
      <c r="S34" s="31"/>
    </row>
    <row r="35" spans="3:19" ht="15.75" x14ac:dyDescent="0.25">
      <c r="C35" s="4" t="s">
        <v>2</v>
      </c>
      <c r="D35" s="3"/>
      <c r="E35" s="3">
        <v>19.48</v>
      </c>
      <c r="F35" s="3">
        <f>3.61*21.95*1</f>
        <v>79.239499999999992</v>
      </c>
      <c r="G35" s="12"/>
      <c r="H35" s="3">
        <f>2.43*108.42*1</f>
        <v>263.4606</v>
      </c>
      <c r="I35" s="12"/>
      <c r="J35" s="6">
        <f>6.04*23.96*1</f>
        <v>144.7184</v>
      </c>
      <c r="K35" s="12"/>
      <c r="L35" s="11"/>
      <c r="M35" s="11"/>
      <c r="N35" s="11"/>
      <c r="O35" s="11"/>
      <c r="P35" s="15">
        <f>E35+F35+H35+J35+L35+M35+N35</f>
        <v>506.89850000000001</v>
      </c>
      <c r="Q35" s="21"/>
      <c r="R35" s="26">
        <f>(Q36+Q37)/2</f>
        <v>1092.7950000000001</v>
      </c>
      <c r="S35" s="30">
        <f>1002.71</f>
        <v>1002.71</v>
      </c>
    </row>
    <row r="36" spans="3:19" ht="15" customHeight="1" x14ac:dyDescent="0.25">
      <c r="C36" s="103" t="s">
        <v>12</v>
      </c>
      <c r="D36" s="106"/>
      <c r="E36" s="3"/>
      <c r="F36" s="3"/>
      <c r="G36" s="12">
        <v>81.91</v>
      </c>
      <c r="H36" s="3"/>
      <c r="I36" s="12">
        <v>284.67</v>
      </c>
      <c r="J36" s="6"/>
      <c r="K36" s="12">
        <v>156.97999999999999</v>
      </c>
      <c r="L36" s="11">
        <v>99.08</v>
      </c>
      <c r="M36" s="11">
        <v>233.64</v>
      </c>
      <c r="N36" s="11">
        <v>183.7</v>
      </c>
      <c r="O36" s="11">
        <v>95.8</v>
      </c>
      <c r="P36" s="15"/>
      <c r="Q36" s="20">
        <f>G36+I36+K36+L36+M36+N36+O36</f>
        <v>1135.78</v>
      </c>
      <c r="R36" s="3"/>
      <c r="S36" s="31"/>
    </row>
    <row r="37" spans="3:19" ht="15.75" x14ac:dyDescent="0.25">
      <c r="C37" s="97" t="s">
        <v>13</v>
      </c>
      <c r="D37" s="98"/>
      <c r="E37" s="3"/>
      <c r="F37" s="3"/>
      <c r="G37" s="12">
        <v>81.91</v>
      </c>
      <c r="H37" s="3"/>
      <c r="I37" s="12">
        <f>I36</f>
        <v>284.67</v>
      </c>
      <c r="J37" s="3"/>
      <c r="K37" s="12">
        <f>K36</f>
        <v>156.97999999999999</v>
      </c>
      <c r="L37" s="11">
        <f>L36</f>
        <v>99.08</v>
      </c>
      <c r="M37" s="12">
        <v>182.16</v>
      </c>
      <c r="N37" s="11">
        <v>149.21</v>
      </c>
      <c r="O37" s="11">
        <v>95.8</v>
      </c>
      <c r="P37" s="17"/>
      <c r="Q37" s="20">
        <f>G37+I37+K37+L37+M37+N37+O37</f>
        <v>1049.8100000000002</v>
      </c>
      <c r="R37" s="3"/>
      <c r="S37" s="31"/>
    </row>
    <row r="38" spans="3:19" ht="15.75" x14ac:dyDescent="0.25">
      <c r="C38" s="4" t="s">
        <v>3</v>
      </c>
      <c r="D38" s="3"/>
      <c r="E38" s="6">
        <f>11.12*7.91*1</f>
        <v>87.959199999999996</v>
      </c>
      <c r="F38" s="3">
        <f>4.04*21.95*1</f>
        <v>88.677999999999997</v>
      </c>
      <c r="G38" s="12"/>
      <c r="H38" s="3"/>
      <c r="I38" s="12"/>
      <c r="J38" s="6"/>
      <c r="K38" s="12"/>
      <c r="L38" s="12"/>
      <c r="M38" s="11"/>
      <c r="N38" s="11"/>
      <c r="O38" s="11"/>
      <c r="P38" s="18"/>
      <c r="Q38" s="21"/>
      <c r="R38" s="26">
        <f>(Q39+Q40)/2</f>
        <v>1200.325</v>
      </c>
      <c r="S38" s="30">
        <f>(1058.44+1080.04)/2</f>
        <v>1069.24</v>
      </c>
    </row>
    <row r="39" spans="3:19" ht="15" customHeight="1" x14ac:dyDescent="0.25">
      <c r="C39" s="103" t="s">
        <v>13</v>
      </c>
      <c r="D39" s="107"/>
      <c r="E39" s="108"/>
      <c r="F39" s="3"/>
      <c r="G39" s="12">
        <v>91.67</v>
      </c>
      <c r="H39" s="3"/>
      <c r="I39" s="12">
        <v>376.93</v>
      </c>
      <c r="J39" s="6"/>
      <c r="K39" s="12">
        <v>179.33</v>
      </c>
      <c r="L39" s="12">
        <v>0</v>
      </c>
      <c r="M39" s="11">
        <v>194.04</v>
      </c>
      <c r="N39" s="11">
        <v>293.17</v>
      </c>
      <c r="O39" s="11">
        <v>95.8</v>
      </c>
      <c r="P39" s="18"/>
      <c r="Q39" s="20">
        <f>G39+I39+K39+L39+M39+N39+O39</f>
        <v>1230.94</v>
      </c>
      <c r="R39" s="3"/>
      <c r="S39" s="31"/>
    </row>
    <row r="40" spans="3:19" ht="15.75" x14ac:dyDescent="0.25">
      <c r="C40" s="97" t="s">
        <v>21</v>
      </c>
      <c r="D40" s="98"/>
      <c r="E40" s="3"/>
      <c r="F40" s="3"/>
      <c r="G40" s="12">
        <f>G39</f>
        <v>91.67</v>
      </c>
      <c r="H40" s="3"/>
      <c r="I40" s="12">
        <f>I39</f>
        <v>376.93</v>
      </c>
      <c r="J40" s="3"/>
      <c r="K40" s="12">
        <f>K39</f>
        <v>179.33</v>
      </c>
      <c r="L40" s="12">
        <v>0</v>
      </c>
      <c r="M40" s="12">
        <v>163.55000000000001</v>
      </c>
      <c r="N40" s="12">
        <v>262.43</v>
      </c>
      <c r="O40" s="11">
        <v>95.8</v>
      </c>
      <c r="P40" s="17"/>
      <c r="Q40" s="20">
        <f>G40+I40+K40+L40+M40+N40+O40</f>
        <v>1169.71</v>
      </c>
      <c r="R40" s="3"/>
      <c r="S40" s="31"/>
    </row>
    <row r="41" spans="3:19" ht="15.75" x14ac:dyDescent="0.25">
      <c r="C41" s="4" t="s">
        <v>4</v>
      </c>
      <c r="D41" s="3"/>
      <c r="E41" s="6">
        <f>11.12*7.91*1</f>
        <v>87.959199999999996</v>
      </c>
      <c r="F41" s="3">
        <f>4.04*21.95*1</f>
        <v>88.677999999999997</v>
      </c>
      <c r="G41" s="12"/>
      <c r="H41" s="3"/>
      <c r="I41" s="12"/>
      <c r="J41" s="6"/>
      <c r="K41" s="12"/>
      <c r="L41" s="12"/>
      <c r="M41" s="11"/>
      <c r="N41" s="11"/>
      <c r="O41" s="11"/>
      <c r="P41" s="18"/>
      <c r="Q41" s="21"/>
      <c r="R41" s="26">
        <f>(Q42+Q43)/2</f>
        <v>1186.365</v>
      </c>
      <c r="S41" s="30">
        <f>1222.36</f>
        <v>1222.3599999999999</v>
      </c>
    </row>
    <row r="42" spans="3:19" ht="15.75" x14ac:dyDescent="0.25">
      <c r="C42" s="103" t="s">
        <v>13</v>
      </c>
      <c r="D42" s="104"/>
      <c r="E42" s="6"/>
      <c r="F42" s="3"/>
      <c r="G42" s="12">
        <v>91.67</v>
      </c>
      <c r="H42" s="3"/>
      <c r="I42" s="12">
        <v>362.97</v>
      </c>
      <c r="J42" s="6"/>
      <c r="K42" s="12">
        <v>179.33</v>
      </c>
      <c r="L42" s="12">
        <v>0</v>
      </c>
      <c r="M42" s="11">
        <v>194.04</v>
      </c>
      <c r="N42" s="11">
        <v>293.17</v>
      </c>
      <c r="O42" s="11">
        <v>95.8</v>
      </c>
      <c r="P42" s="18"/>
      <c r="Q42" s="20">
        <f>G42+I42+K42+L42+M42+N42+O42</f>
        <v>1216.98</v>
      </c>
      <c r="R42" s="3"/>
      <c r="S42" s="31"/>
    </row>
    <row r="43" spans="3:19" ht="15.75" x14ac:dyDescent="0.25">
      <c r="C43" s="97" t="s">
        <v>21</v>
      </c>
      <c r="D43" s="98"/>
      <c r="E43" s="3"/>
      <c r="F43" s="3"/>
      <c r="G43" s="12">
        <f>G42</f>
        <v>91.67</v>
      </c>
      <c r="H43" s="3"/>
      <c r="I43" s="12">
        <f>I42</f>
        <v>362.97</v>
      </c>
      <c r="J43" s="3"/>
      <c r="K43" s="12">
        <f>K42</f>
        <v>179.33</v>
      </c>
      <c r="L43" s="12">
        <v>0</v>
      </c>
      <c r="M43" s="11">
        <v>163.55000000000001</v>
      </c>
      <c r="N43" s="12">
        <v>262.43</v>
      </c>
      <c r="O43" s="11">
        <v>95.8</v>
      </c>
      <c r="P43" s="17"/>
      <c r="Q43" s="20">
        <f>G43+I43+K43+L43+M43+N43+O43</f>
        <v>1155.75</v>
      </c>
      <c r="R43" s="3"/>
      <c r="S43" s="31"/>
    </row>
    <row r="46" spans="3:19" x14ac:dyDescent="0.25">
      <c r="C46" t="s">
        <v>46</v>
      </c>
      <c r="N46" t="s">
        <v>36</v>
      </c>
    </row>
    <row r="48" spans="3:19" x14ac:dyDescent="0.25">
      <c r="C48" t="s">
        <v>43</v>
      </c>
      <c r="N48" t="s">
        <v>31</v>
      </c>
    </row>
  </sheetData>
  <mergeCells count="38">
    <mergeCell ref="M1:N1"/>
    <mergeCell ref="M2:N2"/>
    <mergeCell ref="B7:R8"/>
    <mergeCell ref="G9:N9"/>
    <mergeCell ref="C12:D13"/>
    <mergeCell ref="E12:E13"/>
    <mergeCell ref="F12:N12"/>
    <mergeCell ref="O12:O13"/>
    <mergeCell ref="P12:Q13"/>
    <mergeCell ref="R12:R13"/>
    <mergeCell ref="C25:D25"/>
    <mergeCell ref="S12:S13"/>
    <mergeCell ref="F13:G13"/>
    <mergeCell ref="H13:I13"/>
    <mergeCell ref="J13:K13"/>
    <mergeCell ref="C15:D15"/>
    <mergeCell ref="C16:D16"/>
    <mergeCell ref="C18:D18"/>
    <mergeCell ref="C19:D19"/>
    <mergeCell ref="C21:D21"/>
    <mergeCell ref="C22:D22"/>
    <mergeCell ref="C24:D24"/>
    <mergeCell ref="C29:D30"/>
    <mergeCell ref="E29:E30"/>
    <mergeCell ref="F29:N29"/>
    <mergeCell ref="O29:O30"/>
    <mergeCell ref="P29:Q30"/>
    <mergeCell ref="F30:G30"/>
    <mergeCell ref="H30:I30"/>
    <mergeCell ref="J30:K30"/>
    <mergeCell ref="C42:D42"/>
    <mergeCell ref="C43:D43"/>
    <mergeCell ref="C33:D33"/>
    <mergeCell ref="C34:D34"/>
    <mergeCell ref="C36:D36"/>
    <mergeCell ref="C37:D37"/>
    <mergeCell ref="C39:E39"/>
    <mergeCell ref="C40:D40"/>
  </mergeCells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01122022 правки</vt:lpstr>
      <vt:lpstr>Лист1</vt:lpstr>
      <vt:lpstr>неправильный</vt:lpstr>
      <vt:lpstr>01122022</vt:lpstr>
      <vt:lpstr>01092022_1_1</vt:lpstr>
    </vt:vector>
  </TitlesOfParts>
  <Company>TSMA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Ю. Крылова</dc:creator>
  <cp:lastModifiedBy>Елена В. Шаулина</cp:lastModifiedBy>
  <cp:lastPrinted>2023-03-21T10:11:39Z</cp:lastPrinted>
  <dcterms:created xsi:type="dcterms:W3CDTF">2015-03-26T14:14:33Z</dcterms:created>
  <dcterms:modified xsi:type="dcterms:W3CDTF">2023-03-21T10:16:28Z</dcterms:modified>
</cp:coreProperties>
</file>